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DhavalM\Desktop\"/>
    </mc:Choice>
  </mc:AlternateContent>
  <bookViews>
    <workbookView xWindow="-120" yWindow="-120" windowWidth="20736" windowHeight="11040" tabRatio="746"/>
  </bookViews>
  <sheets>
    <sheet name="Main Kitchen Building" sheetId="3" r:id="rId1"/>
    <sheet name="Det-Kit" sheetId="1" state="hidden" r:id="rId2"/>
    <sheet name="Utility Building" sheetId="16" r:id="rId3"/>
    <sheet name="Det-Utili.Bl" sheetId="15" state="hidden" r:id="rId4"/>
    <sheet name="Boiler Room" sheetId="8" r:id="rId5"/>
    <sheet name="Det-Boil" sheetId="6" state="hidden" r:id="rId6"/>
    <sheet name="Det-Security Blo" sheetId="11" state="hidden" r:id="rId7"/>
    <sheet name="Site Development" sheetId="14" r:id="rId8"/>
    <sheet name="Det-Sit.Dev" sheetId="13" state="hidden" r:id="rId9"/>
    <sheet name="Compound Wall" sheetId="10" r:id="rId10"/>
    <sheet name="Det-Comp" sheetId="9" state="hidden" r:id="rId11"/>
    <sheet name="WHT Tank" sheetId="19" r:id="rId12"/>
    <sheet name="Det-WHT" sheetId="18" state="hidden" r:id="rId13"/>
    <sheet name="R.A Civil" sheetId="4" state="hidden" r:id="rId14"/>
    <sheet name="Analysis" sheetId="17" state="hidden" r:id="rId15"/>
  </sheets>
  <definedNames>
    <definedName name="_xlnm.Print_Titles" localSheetId="1">'Det-Kit'!$3:$3</definedName>
    <definedName name="_xlnm.Print_Titles" localSheetId="0">'Main Kitchen Building'!$20:$20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32" i="4" l="1"/>
  <c r="E431" i="4"/>
  <c r="E430" i="4"/>
  <c r="F74" i="17"/>
  <c r="F72" i="17"/>
  <c r="F75" i="17" s="1"/>
  <c r="F76" i="17" l="1"/>
  <c r="F77" i="17" s="1"/>
  <c r="E248" i="17"/>
  <c r="E245" i="17"/>
  <c r="G1272" i="1"/>
  <c r="G1273" i="1" s="1"/>
  <c r="C195" i="3" s="1"/>
  <c r="G1268" i="1"/>
  <c r="G1269" i="1" s="1"/>
  <c r="C194" i="3" s="1"/>
  <c r="F239" i="4"/>
  <c r="F238" i="4"/>
  <c r="F237" i="4"/>
  <c r="G1281" i="1"/>
  <c r="G1282" i="1" s="1"/>
  <c r="C199" i="3" s="1"/>
  <c r="G1278" i="1"/>
  <c r="G1279" i="1" s="1"/>
  <c r="C198" i="3" s="1"/>
  <c r="G1254" i="1"/>
  <c r="G1224" i="1"/>
  <c r="E250" i="17" l="1"/>
  <c r="E251" i="17" s="1"/>
  <c r="F78" i="17"/>
  <c r="F79" i="17" s="1"/>
  <c r="A50" i="10"/>
  <c r="C238" i="17"/>
  <c r="C240" i="17" s="1"/>
  <c r="C241" i="17" s="1"/>
  <c r="E461" i="4" s="1"/>
  <c r="E242" i="4" l="1"/>
  <c r="F242" i="4" s="1"/>
  <c r="E243" i="4"/>
  <c r="F243" i="4" s="1"/>
  <c r="E244" i="4"/>
  <c r="F244" i="4" s="1"/>
  <c r="F80" i="17"/>
  <c r="F81" i="17" s="1"/>
  <c r="F461" i="4"/>
  <c r="G104" i="9"/>
  <c r="G105" i="9" s="1"/>
  <c r="C56" i="10" s="1"/>
  <c r="D87" i="9"/>
  <c r="G88" i="9"/>
  <c r="F88" i="9"/>
  <c r="F82" i="17" l="1"/>
  <c r="F83" i="17" s="1"/>
  <c r="E10" i="4"/>
  <c r="E476" i="4" l="1"/>
  <c r="F476" i="4" s="1"/>
  <c r="F222" i="17"/>
  <c r="F221" i="17"/>
  <c r="F220" i="17"/>
  <c r="F215" i="17"/>
  <c r="E474" i="4"/>
  <c r="E169" i="17"/>
  <c r="F169" i="17" s="1"/>
  <c r="F178" i="17"/>
  <c r="F177" i="17"/>
  <c r="F175" i="17"/>
  <c r="F173" i="17"/>
  <c r="E472" i="4"/>
  <c r="E142" i="17"/>
  <c r="F142" i="17" s="1"/>
  <c r="F144" i="17" s="1"/>
  <c r="F151" i="17"/>
  <c r="F150" i="17"/>
  <c r="F148" i="17"/>
  <c r="F146" i="17"/>
  <c r="E466" i="4"/>
  <c r="F466" i="4" s="1"/>
  <c r="F124" i="17"/>
  <c r="F123" i="17"/>
  <c r="F120" i="17"/>
  <c r="E464" i="4"/>
  <c r="F464" i="4" s="1"/>
  <c r="F101" i="17"/>
  <c r="F100" i="17"/>
  <c r="F99" i="17"/>
  <c r="F97" i="17"/>
  <c r="E93" i="17"/>
  <c r="F93" i="17" s="1"/>
  <c r="A48" i="19"/>
  <c r="G114" i="18"/>
  <c r="C49" i="19" s="1"/>
  <c r="G2450" i="1"/>
  <c r="F459" i="4"/>
  <c r="A52" i="10"/>
  <c r="A54" i="10" s="1"/>
  <c r="A56" i="10" s="1"/>
  <c r="G87" i="9"/>
  <c r="G90" i="9" s="1"/>
  <c r="G2447" i="1"/>
  <c r="G2448" i="1" s="1"/>
  <c r="G2444" i="1"/>
  <c r="G2445" i="1" s="1"/>
  <c r="G2441" i="1"/>
  <c r="E314" i="4"/>
  <c r="E312" i="4"/>
  <c r="E313" i="4"/>
  <c r="E311" i="4"/>
  <c r="F53" i="17"/>
  <c r="F52" i="17"/>
  <c r="F51" i="17"/>
  <c r="F50" i="17"/>
  <c r="F48" i="17"/>
  <c r="F217" i="17" l="1"/>
  <c r="F223" i="17" s="1"/>
  <c r="F171" i="17"/>
  <c r="F179" i="17" s="1"/>
  <c r="F152" i="17"/>
  <c r="F54" i="17"/>
  <c r="F55" i="17" s="1"/>
  <c r="F56" i="17" s="1"/>
  <c r="F125" i="17"/>
  <c r="F95" i="17"/>
  <c r="F102" i="17" s="1"/>
  <c r="G91" i="9"/>
  <c r="G2472" i="1"/>
  <c r="G2473" i="1"/>
  <c r="G2471" i="1"/>
  <c r="G2462" i="1"/>
  <c r="G2463" i="1"/>
  <c r="G2464" i="1"/>
  <c r="G2465" i="1"/>
  <c r="G2461" i="1"/>
  <c r="G1089" i="1"/>
  <c r="G1090" i="1"/>
  <c r="G1091" i="1"/>
  <c r="G1054" i="1"/>
  <c r="G1055" i="1"/>
  <c r="G1056" i="1"/>
  <c r="G1057" i="1"/>
  <c r="G1058" i="1"/>
  <c r="G2475" i="1" l="1"/>
  <c r="G2467" i="1"/>
  <c r="F224" i="17"/>
  <c r="F225" i="17" s="1"/>
  <c r="F180" i="17"/>
  <c r="F181" i="17" s="1"/>
  <c r="F153" i="17"/>
  <c r="F154" i="17" s="1"/>
  <c r="F126" i="17"/>
  <c r="F127" i="17" s="1"/>
  <c r="F103" i="17"/>
  <c r="F104" i="17" s="1"/>
  <c r="G94" i="9"/>
  <c r="G95" i="9" s="1"/>
  <c r="C52" i="10" s="1"/>
  <c r="C50" i="10"/>
  <c r="F57" i="17"/>
  <c r="F58" i="17" s="1"/>
  <c r="D2503" i="1"/>
  <c r="G2503" i="1" s="1"/>
  <c r="G2504" i="1" s="1"/>
  <c r="C387" i="3" s="1"/>
  <c r="F226" i="17" l="1"/>
  <c r="F227" i="17" s="1"/>
  <c r="F182" i="17"/>
  <c r="F183" i="17" s="1"/>
  <c r="F155" i="17"/>
  <c r="F156" i="17" s="1"/>
  <c r="F128" i="17"/>
  <c r="F129" i="17" s="1"/>
  <c r="F105" i="17"/>
  <c r="F106" i="17" s="1"/>
  <c r="F59" i="17"/>
  <c r="F60" i="17" s="1"/>
  <c r="F228" i="17" l="1"/>
  <c r="F229" i="17" s="1"/>
  <c r="F184" i="17"/>
  <c r="F185" i="17" s="1"/>
  <c r="F157" i="17"/>
  <c r="F158" i="17" s="1"/>
  <c r="F130" i="17"/>
  <c r="F131" i="17" s="1"/>
  <c r="F107" i="17"/>
  <c r="F108" i="17" s="1"/>
  <c r="F61" i="17"/>
  <c r="F62" i="17" s="1"/>
  <c r="F63" i="17" s="1"/>
  <c r="F64" i="17" s="1"/>
  <c r="F468" i="4"/>
  <c r="F474" i="4"/>
  <c r="F472" i="4"/>
  <c r="F470" i="4"/>
  <c r="A362" i="4"/>
  <c r="F77" i="4"/>
  <c r="A77" i="4"/>
  <c r="A22" i="19"/>
  <c r="A24" i="19" s="1"/>
  <c r="A26" i="19" s="1"/>
  <c r="A29" i="19" s="1"/>
  <c r="A31" i="19" s="1"/>
  <c r="A33" i="19" s="1"/>
  <c r="A36" i="19" s="1"/>
  <c r="A38" i="19" s="1"/>
  <c r="A40" i="19" s="1"/>
  <c r="A42" i="19" s="1"/>
  <c r="A44" i="19" s="1"/>
  <c r="A46" i="19" s="1"/>
  <c r="A51" i="19" s="1"/>
  <c r="A53" i="19" s="1"/>
  <c r="A55" i="19" s="1"/>
  <c r="A57" i="19" s="1"/>
  <c r="A59" i="19" s="1"/>
  <c r="A61" i="19" s="1"/>
  <c r="G133" i="18"/>
  <c r="C61" i="19" s="1"/>
  <c r="G129" i="18"/>
  <c r="G130" i="18" s="1"/>
  <c r="G131" i="18" s="1"/>
  <c r="C59" i="19" s="1"/>
  <c r="G127" i="18"/>
  <c r="C57" i="19" s="1"/>
  <c r="G125" i="18"/>
  <c r="C55" i="19" s="1"/>
  <c r="G123" i="18"/>
  <c r="C53" i="19" s="1"/>
  <c r="D118" i="18"/>
  <c r="G118" i="18" s="1"/>
  <c r="G117" i="18"/>
  <c r="G108" i="18"/>
  <c r="G107" i="18"/>
  <c r="G106" i="18"/>
  <c r="G105" i="18"/>
  <c r="G104" i="18"/>
  <c r="G103" i="18"/>
  <c r="F102" i="18"/>
  <c r="G102" i="18" s="1"/>
  <c r="G101" i="18"/>
  <c r="F101" i="18"/>
  <c r="F87" i="18"/>
  <c r="D87" i="18"/>
  <c r="C87" i="18"/>
  <c r="F86" i="18"/>
  <c r="D86" i="18"/>
  <c r="C86" i="18"/>
  <c r="G86" i="18" s="1"/>
  <c r="F85" i="18"/>
  <c r="D85" i="18"/>
  <c r="C85" i="18"/>
  <c r="F84" i="18"/>
  <c r="D84" i="18"/>
  <c r="C84" i="18"/>
  <c r="F83" i="18"/>
  <c r="D83" i="18"/>
  <c r="C83" i="18"/>
  <c r="D77" i="18"/>
  <c r="G77" i="18" s="1"/>
  <c r="D76" i="18"/>
  <c r="C76" i="18"/>
  <c r="D75" i="18"/>
  <c r="C75" i="18"/>
  <c r="E70" i="18"/>
  <c r="D70" i="18"/>
  <c r="E69" i="18"/>
  <c r="D69" i="18"/>
  <c r="F63" i="18"/>
  <c r="D63" i="18"/>
  <c r="C63" i="18"/>
  <c r="F62" i="18"/>
  <c r="D62" i="18"/>
  <c r="C62" i="18"/>
  <c r="G54" i="18"/>
  <c r="G53" i="18"/>
  <c r="G52" i="18"/>
  <c r="G51" i="18"/>
  <c r="G50" i="18"/>
  <c r="G44" i="18"/>
  <c r="G43" i="18"/>
  <c r="G46" i="18" s="1"/>
  <c r="G47" i="18" s="1"/>
  <c r="C94" i="18" s="1"/>
  <c r="G94" i="18" s="1"/>
  <c r="G37" i="18"/>
  <c r="G36" i="18"/>
  <c r="G29" i="18"/>
  <c r="G28" i="18"/>
  <c r="G31" i="18" s="1"/>
  <c r="G32" i="18" s="1"/>
  <c r="C26" i="19" s="1"/>
  <c r="G23" i="18"/>
  <c r="G22" i="18"/>
  <c r="A22" i="18"/>
  <c r="A28" i="18" s="1"/>
  <c r="A35" i="18" s="1"/>
  <c r="A42" i="18" s="1"/>
  <c r="A49" i="18" s="1"/>
  <c r="A61" i="18" s="1"/>
  <c r="A68" i="18" s="1"/>
  <c r="A75" i="18" s="1"/>
  <c r="A82" i="18" s="1"/>
  <c r="A92" i="18" s="1"/>
  <c r="A100" i="18" s="1"/>
  <c r="A114" i="18" s="1"/>
  <c r="A116" i="18" s="1"/>
  <c r="A123" i="18" s="1"/>
  <c r="A125" i="18" s="1"/>
  <c r="A127" i="18" s="1"/>
  <c r="A129" i="18" s="1"/>
  <c r="A133" i="18" s="1"/>
  <c r="G9" i="18"/>
  <c r="G8" i="18"/>
  <c r="G11" i="18" s="1"/>
  <c r="A396" i="3"/>
  <c r="F427" i="4"/>
  <c r="F425" i="4"/>
  <c r="F423" i="4"/>
  <c r="F422" i="4"/>
  <c r="C36" i="17"/>
  <c r="C38" i="17" s="1"/>
  <c r="C39" i="17" s="1"/>
  <c r="E382" i="4" s="1"/>
  <c r="F382" i="4" s="1"/>
  <c r="C26" i="17"/>
  <c r="C23" i="17"/>
  <c r="C12" i="17"/>
  <c r="C9" i="17"/>
  <c r="C6" i="17"/>
  <c r="F376" i="4"/>
  <c r="F370" i="4"/>
  <c r="E308" i="4"/>
  <c r="F308" i="4" s="1"/>
  <c r="E307" i="4"/>
  <c r="F307" i="4" s="1"/>
  <c r="E306" i="4"/>
  <c r="F306" i="4" s="1"/>
  <c r="E305" i="4"/>
  <c r="F305" i="4" s="1"/>
  <c r="A304" i="4"/>
  <c r="F282" i="4"/>
  <c r="F281" i="4"/>
  <c r="F278" i="4"/>
  <c r="F277" i="4"/>
  <c r="A276" i="4"/>
  <c r="A280" i="4" s="1"/>
  <c r="G75" i="18" l="1"/>
  <c r="G25" i="18"/>
  <c r="G26" i="18" s="1"/>
  <c r="C24" i="19" s="1"/>
  <c r="G63" i="18"/>
  <c r="G83" i="18"/>
  <c r="G87" i="18"/>
  <c r="G62" i="18"/>
  <c r="G120" i="18"/>
  <c r="G121" i="18" s="1"/>
  <c r="C51" i="19" s="1"/>
  <c r="G56" i="18"/>
  <c r="G57" i="18" s="1"/>
  <c r="C95" i="18" s="1"/>
  <c r="G95" i="18" s="1"/>
  <c r="C31" i="19"/>
  <c r="G110" i="18"/>
  <c r="G111" i="18" s="1"/>
  <c r="C46" i="19" s="1"/>
  <c r="G39" i="18"/>
  <c r="G40" i="18" s="1"/>
  <c r="G69" i="18"/>
  <c r="G15" i="18"/>
  <c r="G16" i="18" s="1"/>
  <c r="G12" i="18"/>
  <c r="C33" i="19"/>
  <c r="G70" i="18"/>
  <c r="G84" i="18"/>
  <c r="G85" i="18"/>
  <c r="G76" i="18"/>
  <c r="G79" i="18"/>
  <c r="G80" i="18" s="1"/>
  <c r="C40" i="19" s="1"/>
  <c r="F230" i="17"/>
  <c r="F231" i="17" s="1"/>
  <c r="F232" i="17" s="1"/>
  <c r="F186" i="17"/>
  <c r="F187" i="17" s="1"/>
  <c r="F159" i="17"/>
  <c r="F160" i="17" s="1"/>
  <c r="C29" i="17"/>
  <c r="C30" i="17" s="1"/>
  <c r="E386" i="4" s="1"/>
  <c r="F386" i="4" s="1"/>
  <c r="C18" i="17"/>
  <c r="C19" i="17" s="1"/>
  <c r="F132" i="17"/>
  <c r="F133" i="17" s="1"/>
  <c r="F109" i="17"/>
  <c r="F110" i="17" s="1"/>
  <c r="F111" i="17" s="1"/>
  <c r="G89" i="18" l="1"/>
  <c r="G90" i="18" s="1"/>
  <c r="C42" i="19" s="1"/>
  <c r="G65" i="18"/>
  <c r="G66" i="18" s="1"/>
  <c r="C36" i="19" s="1"/>
  <c r="G72" i="18"/>
  <c r="G73" i="18" s="1"/>
  <c r="C38" i="19" s="1"/>
  <c r="C93" i="18"/>
  <c r="G93" i="18" s="1"/>
  <c r="G97" i="18" s="1"/>
  <c r="G98" i="18" s="1"/>
  <c r="C44" i="19" s="1"/>
  <c r="C29" i="19"/>
  <c r="G18" i="18"/>
  <c r="C22" i="19" s="1"/>
  <c r="C20" i="19"/>
  <c r="E385" i="4"/>
  <c r="F385" i="4" s="1"/>
  <c r="J97" i="18"/>
  <c r="E181" i="4"/>
  <c r="G898" i="1"/>
  <c r="F1839" i="1"/>
  <c r="G1839" i="1" s="1"/>
  <c r="F1837" i="1"/>
  <c r="D1837" i="1"/>
  <c r="D1319" i="1"/>
  <c r="G1319" i="1" s="1"/>
  <c r="G1318" i="1"/>
  <c r="G1317" i="1"/>
  <c r="G1256" i="1"/>
  <c r="G1257" i="1"/>
  <c r="G1258" i="1"/>
  <c r="G1259" i="1"/>
  <c r="G1255" i="1"/>
  <c r="C376" i="3"/>
  <c r="D1836" i="1"/>
  <c r="G1836" i="1" s="1"/>
  <c r="F1124" i="1" l="1"/>
  <c r="D1124" i="1"/>
  <c r="C1124" i="1"/>
  <c r="F1123" i="1"/>
  <c r="C1123" i="1"/>
  <c r="G1123" i="1" l="1"/>
  <c r="G1124" i="1"/>
  <c r="F181" i="4"/>
  <c r="A179" i="4"/>
  <c r="F137" i="4" l="1"/>
  <c r="E84" i="4"/>
  <c r="F84" i="4" s="1"/>
  <c r="F456" i="4"/>
  <c r="F455" i="4"/>
  <c r="F452" i="4"/>
  <c r="F450" i="4"/>
  <c r="F448" i="4"/>
  <c r="F446" i="4"/>
  <c r="F444" i="4"/>
  <c r="F442" i="4"/>
  <c r="F440" i="4"/>
  <c r="F438" i="4"/>
  <c r="F436" i="4"/>
  <c r="F434" i="4"/>
  <c r="F415" i="4"/>
  <c r="F432" i="4"/>
  <c r="F431" i="4"/>
  <c r="F430" i="4"/>
  <c r="F419" i="4"/>
  <c r="F418" i="4"/>
  <c r="F412" i="4"/>
  <c r="F410" i="4"/>
  <c r="F408" i="4"/>
  <c r="F406" i="4"/>
  <c r="F405" i="4"/>
  <c r="F404" i="4"/>
  <c r="F401" i="4"/>
  <c r="F400" i="4"/>
  <c r="F399" i="4"/>
  <c r="E396" i="4"/>
  <c r="E395" i="4"/>
  <c r="E394" i="4"/>
  <c r="F391" i="4"/>
  <c r="F390" i="4"/>
  <c r="F389" i="4"/>
  <c r="F380" i="4"/>
  <c r="F378" i="4"/>
  <c r="F375" i="4"/>
  <c r="F374" i="4"/>
  <c r="F373" i="4"/>
  <c r="F369" i="4"/>
  <c r="F368" i="4"/>
  <c r="F367" i="4"/>
  <c r="E364" i="4"/>
  <c r="F360" i="4"/>
  <c r="F359" i="4"/>
  <c r="F358" i="4"/>
  <c r="F355" i="4"/>
  <c r="F354" i="4"/>
  <c r="F351" i="4"/>
  <c r="F350" i="4"/>
  <c r="F347" i="4"/>
  <c r="F346" i="4"/>
  <c r="F345" i="4"/>
  <c r="F342" i="4"/>
  <c r="F341" i="4"/>
  <c r="F340" i="4"/>
  <c r="F337" i="4"/>
  <c r="F336" i="4"/>
  <c r="F335" i="4"/>
  <c r="F332" i="4"/>
  <c r="F331" i="4"/>
  <c r="F330" i="4"/>
  <c r="F327" i="4"/>
  <c r="F326" i="4"/>
  <c r="F325" i="4"/>
  <c r="F322" i="4"/>
  <c r="F319" i="4"/>
  <c r="F318" i="4"/>
  <c r="F317" i="4"/>
  <c r="F314" i="4"/>
  <c r="F313" i="4"/>
  <c r="F312" i="4"/>
  <c r="F311" i="4"/>
  <c r="F302" i="4"/>
  <c r="F301" i="4"/>
  <c r="F300" i="4"/>
  <c r="F297" i="4"/>
  <c r="F296" i="4"/>
  <c r="F295" i="4"/>
  <c r="F292" i="4"/>
  <c r="F291" i="4"/>
  <c r="F290" i="4"/>
  <c r="F287" i="4"/>
  <c r="F286" i="4"/>
  <c r="F285" i="4"/>
  <c r="F274" i="4"/>
  <c r="F273" i="4"/>
  <c r="F272" i="4"/>
  <c r="F269" i="4"/>
  <c r="F267" i="4"/>
  <c r="F266" i="4"/>
  <c r="F265" i="4"/>
  <c r="F262" i="4"/>
  <c r="F260" i="4"/>
  <c r="F259" i="4"/>
  <c r="F258" i="4"/>
  <c r="F255" i="4"/>
  <c r="F254" i="4"/>
  <c r="F253" i="4"/>
  <c r="F250" i="4"/>
  <c r="F249" i="4"/>
  <c r="F248" i="4"/>
  <c r="F234" i="4"/>
  <c r="F233" i="4"/>
  <c r="F232" i="4"/>
  <c r="F229" i="4"/>
  <c r="F228" i="4"/>
  <c r="F227" i="4"/>
  <c r="F224" i="4"/>
  <c r="F223" i="4"/>
  <c r="F222" i="4"/>
  <c r="F219" i="4"/>
  <c r="F218" i="4"/>
  <c r="F217" i="4"/>
  <c r="F214" i="4"/>
  <c r="F213" i="4"/>
  <c r="F212" i="4"/>
  <c r="F209" i="4"/>
  <c r="F206" i="4"/>
  <c r="F204" i="4"/>
  <c r="F203" i="4"/>
  <c r="F202" i="4"/>
  <c r="F199" i="4"/>
  <c r="F198" i="4"/>
  <c r="F197" i="4"/>
  <c r="F194" i="4"/>
  <c r="F193" i="4"/>
  <c r="F192" i="4"/>
  <c r="F189" i="4"/>
  <c r="F187" i="4"/>
  <c r="F186" i="4"/>
  <c r="F185" i="4"/>
  <c r="F184" i="4"/>
  <c r="F177" i="4"/>
  <c r="F176" i="4"/>
  <c r="F175" i="4"/>
  <c r="F172" i="4"/>
  <c r="F171" i="4"/>
  <c r="F168" i="4"/>
  <c r="F167" i="4"/>
  <c r="F166" i="4"/>
  <c r="F165" i="4"/>
  <c r="F162" i="4"/>
  <c r="F161" i="4"/>
  <c r="F160" i="4"/>
  <c r="F159" i="4"/>
  <c r="F156" i="4"/>
  <c r="F155" i="4"/>
  <c r="F154" i="4"/>
  <c r="F151" i="4"/>
  <c r="F150" i="4"/>
  <c r="F149" i="4"/>
  <c r="F146" i="4"/>
  <c r="F145" i="4"/>
  <c r="F144" i="4"/>
  <c r="F143" i="4"/>
  <c r="F140" i="4"/>
  <c r="F136" i="4"/>
  <c r="F135" i="4"/>
  <c r="F134" i="4"/>
  <c r="F131" i="4"/>
  <c r="F129" i="4"/>
  <c r="F125" i="4"/>
  <c r="F124" i="4"/>
  <c r="F123" i="4"/>
  <c r="F120" i="4"/>
  <c r="F119" i="4"/>
  <c r="F118" i="4"/>
  <c r="E115" i="4"/>
  <c r="E114" i="4"/>
  <c r="E111" i="4"/>
  <c r="E108" i="4"/>
  <c r="E107" i="4"/>
  <c r="E106" i="4"/>
  <c r="E105" i="4"/>
  <c r="E102" i="4"/>
  <c r="E101" i="4"/>
  <c r="E100" i="4"/>
  <c r="E97" i="4"/>
  <c r="E96" i="4"/>
  <c r="E95" i="4"/>
  <c r="E92" i="4"/>
  <c r="E91" i="4"/>
  <c r="E90" i="4"/>
  <c r="E89" i="4"/>
  <c r="F86" i="4"/>
  <c r="E83" i="4"/>
  <c r="E82" i="4"/>
  <c r="E81" i="4"/>
  <c r="F74" i="4"/>
  <c r="F73" i="4"/>
  <c r="F72" i="4"/>
  <c r="F69" i="4"/>
  <c r="F68" i="4"/>
  <c r="F67" i="4"/>
  <c r="F64" i="4"/>
  <c r="F61" i="4"/>
  <c r="F60" i="4"/>
  <c r="F59" i="4"/>
  <c r="F56" i="4"/>
  <c r="F55" i="4"/>
  <c r="F54" i="4"/>
  <c r="F51" i="4"/>
  <c r="F49" i="4"/>
  <c r="F48" i="4"/>
  <c r="F47" i="4"/>
  <c r="F44" i="4"/>
  <c r="F43" i="4"/>
  <c r="F42" i="4"/>
  <c r="F39" i="4"/>
  <c r="F37" i="4"/>
  <c r="F36" i="4"/>
  <c r="F35" i="4"/>
  <c r="F32" i="4"/>
  <c r="F28" i="4"/>
  <c r="F27" i="4"/>
  <c r="F26" i="4"/>
  <c r="F23" i="4"/>
  <c r="F21" i="4"/>
  <c r="F19" i="4"/>
  <c r="F17" i="4"/>
  <c r="F15" i="4"/>
  <c r="F13" i="4"/>
  <c r="A10" i="4"/>
  <c r="F8" i="4"/>
  <c r="G99" i="9"/>
  <c r="F71" i="9"/>
  <c r="G71" i="9" s="1"/>
  <c r="F65" i="9"/>
  <c r="G65" i="9" s="1"/>
  <c r="G67" i="9" s="1"/>
  <c r="G68" i="9" s="1"/>
  <c r="D59" i="9"/>
  <c r="G59" i="9" s="1"/>
  <c r="G61" i="9" s="1"/>
  <c r="G62" i="9" s="1"/>
  <c r="D53" i="9"/>
  <c r="G53" i="9" s="1"/>
  <c r="G55" i="9" s="1"/>
  <c r="G56" i="9" s="1"/>
  <c r="G48" i="9"/>
  <c r="G42" i="9"/>
  <c r="G44" i="9" s="1"/>
  <c r="G45" i="9" s="1"/>
  <c r="G36" i="9"/>
  <c r="G38" i="9" s="1"/>
  <c r="G39" i="9" s="1"/>
  <c r="G30" i="9"/>
  <c r="G32" i="9" s="1"/>
  <c r="G33" i="9" s="1"/>
  <c r="G24" i="9"/>
  <c r="G26" i="9" s="1"/>
  <c r="G27" i="9" s="1"/>
  <c r="G18" i="9"/>
  <c r="G20" i="9" s="1"/>
  <c r="G21" i="9" s="1"/>
  <c r="A15" i="9"/>
  <c r="G6" i="9"/>
  <c r="G8" i="9" s="1"/>
  <c r="A22" i="10"/>
  <c r="G88" i="13"/>
  <c r="G85" i="13"/>
  <c r="D77" i="13"/>
  <c r="G73" i="13"/>
  <c r="D68" i="13"/>
  <c r="G62" i="13"/>
  <c r="G61" i="13"/>
  <c r="G60" i="13"/>
  <c r="G59" i="13"/>
  <c r="G47" i="13"/>
  <c r="G41" i="13"/>
  <c r="G40" i="13"/>
  <c r="D39" i="13"/>
  <c r="G39" i="13" s="1"/>
  <c r="D34" i="13"/>
  <c r="G26" i="13"/>
  <c r="A21" i="13"/>
  <c r="G16" i="13"/>
  <c r="G15" i="13"/>
  <c r="G18" i="13" s="1"/>
  <c r="D11" i="13"/>
  <c r="A32" i="14"/>
  <c r="G166" i="11"/>
  <c r="G167" i="11" s="1"/>
  <c r="G155" i="11"/>
  <c r="G149" i="11"/>
  <c r="G148" i="11"/>
  <c r="G142" i="11"/>
  <c r="G141" i="11"/>
  <c r="D140" i="11"/>
  <c r="G139" i="11"/>
  <c r="G138" i="11"/>
  <c r="G137" i="11"/>
  <c r="G132" i="11"/>
  <c r="G127" i="11"/>
  <c r="G119" i="11"/>
  <c r="G120" i="11" s="1"/>
  <c r="G114" i="11"/>
  <c r="G110" i="11"/>
  <c r="G105" i="11"/>
  <c r="G104" i="11"/>
  <c r="D103" i="11"/>
  <c r="G103" i="11" s="1"/>
  <c r="G102" i="11"/>
  <c r="G101" i="11"/>
  <c r="G100" i="11"/>
  <c r="D85" i="11"/>
  <c r="G85" i="11" s="1"/>
  <c r="G86" i="11" s="1"/>
  <c r="G80" i="11"/>
  <c r="G81" i="11" s="1"/>
  <c r="F74" i="11"/>
  <c r="G74" i="11" s="1"/>
  <c r="F73" i="11"/>
  <c r="F67" i="11"/>
  <c r="F66" i="11"/>
  <c r="D62" i="11"/>
  <c r="D58" i="11"/>
  <c r="G58" i="11" s="1"/>
  <c r="G59" i="11" s="1"/>
  <c r="G53" i="11"/>
  <c r="G54" i="11" s="1"/>
  <c r="G48" i="11"/>
  <c r="G47" i="11"/>
  <c r="G42" i="11"/>
  <c r="G41" i="11"/>
  <c r="G37" i="11"/>
  <c r="G34" i="11"/>
  <c r="G35" i="11" s="1"/>
  <c r="G28" i="11"/>
  <c r="G27" i="11"/>
  <c r="G21" i="11"/>
  <c r="G20" i="11"/>
  <c r="A15" i="11"/>
  <c r="G9" i="11"/>
  <c r="G5" i="11"/>
  <c r="G10" i="11" s="1"/>
  <c r="D224" i="6"/>
  <c r="G224" i="6" s="1"/>
  <c r="G214" i="6"/>
  <c r="G208" i="6"/>
  <c r="D207" i="6"/>
  <c r="G202" i="6"/>
  <c r="G201" i="6"/>
  <c r="D200" i="6"/>
  <c r="G200" i="6" s="1"/>
  <c r="G199" i="6"/>
  <c r="D198" i="6"/>
  <c r="G192" i="6"/>
  <c r="D191" i="6"/>
  <c r="G191" i="6" s="1"/>
  <c r="G188" i="6"/>
  <c r="G185" i="6"/>
  <c r="G180" i="6"/>
  <c r="G179" i="6"/>
  <c r="G178" i="6"/>
  <c r="C177" i="6"/>
  <c r="G177" i="6" s="1"/>
  <c r="G176" i="6"/>
  <c r="F168" i="6"/>
  <c r="F167" i="6"/>
  <c r="F166" i="6"/>
  <c r="C165" i="6"/>
  <c r="G163" i="6" s="1"/>
  <c r="F162" i="6"/>
  <c r="G159" i="6"/>
  <c r="G154" i="6"/>
  <c r="G148" i="6"/>
  <c r="G147" i="6"/>
  <c r="G146" i="6"/>
  <c r="G145" i="6"/>
  <c r="G144" i="6"/>
  <c r="G128" i="6"/>
  <c r="G127" i="6"/>
  <c r="G126" i="6"/>
  <c r="G120" i="6"/>
  <c r="F120" i="6"/>
  <c r="F119" i="6"/>
  <c r="F113" i="6"/>
  <c r="G112" i="6"/>
  <c r="F112" i="6"/>
  <c r="F105" i="6"/>
  <c r="D105" i="6"/>
  <c r="F104" i="6"/>
  <c r="D104" i="6"/>
  <c r="F103" i="6"/>
  <c r="D103" i="6"/>
  <c r="D102" i="6"/>
  <c r="G101" i="6" s="1"/>
  <c r="D101" i="6"/>
  <c r="D95" i="6"/>
  <c r="D94" i="6"/>
  <c r="G84" i="6"/>
  <c r="G83" i="6"/>
  <c r="G82" i="6"/>
  <c r="G75" i="6"/>
  <c r="G74" i="6"/>
  <c r="G68" i="6"/>
  <c r="G67" i="6"/>
  <c r="F60" i="6"/>
  <c r="G59" i="6"/>
  <c r="F59" i="6"/>
  <c r="F58" i="6"/>
  <c r="G57" i="6"/>
  <c r="G56" i="6"/>
  <c r="G48" i="6"/>
  <c r="G47" i="6"/>
  <c r="G43" i="6"/>
  <c r="G37" i="6"/>
  <c r="G36" i="6"/>
  <c r="G35" i="6"/>
  <c r="G31" i="6"/>
  <c r="G32" i="6" s="1"/>
  <c r="C29" i="8" s="1"/>
  <c r="G21" i="6"/>
  <c r="G14" i="6"/>
  <c r="G13" i="6"/>
  <c r="A12" i="6"/>
  <c r="G7" i="6"/>
  <c r="G6" i="6"/>
  <c r="A23" i="8"/>
  <c r="G193" i="15"/>
  <c r="G187" i="15"/>
  <c r="G186" i="15"/>
  <c r="D185" i="15"/>
  <c r="G180" i="15"/>
  <c r="D179" i="15"/>
  <c r="G175" i="15"/>
  <c r="G172" i="15"/>
  <c r="F172" i="15"/>
  <c r="F166" i="15"/>
  <c r="G167" i="15" s="1"/>
  <c r="G169" i="15" s="1"/>
  <c r="G162" i="15"/>
  <c r="G154" i="15"/>
  <c r="G150" i="15"/>
  <c r="G144" i="15"/>
  <c r="G143" i="15"/>
  <c r="G142" i="15"/>
  <c r="G141" i="15"/>
  <c r="G140" i="15"/>
  <c r="G139" i="15"/>
  <c r="G138" i="15"/>
  <c r="G123" i="15"/>
  <c r="F117" i="15"/>
  <c r="F116" i="15"/>
  <c r="F110" i="15"/>
  <c r="F109" i="15"/>
  <c r="G109" i="15" s="1"/>
  <c r="F102" i="15"/>
  <c r="F101" i="15"/>
  <c r="D94" i="15"/>
  <c r="G94" i="15" s="1"/>
  <c r="D93" i="15"/>
  <c r="D89" i="15"/>
  <c r="G83" i="15"/>
  <c r="G77" i="15"/>
  <c r="G76" i="15"/>
  <c r="G70" i="15"/>
  <c r="G69" i="15"/>
  <c r="G63" i="15"/>
  <c r="G62" i="15"/>
  <c r="G61" i="15"/>
  <c r="G54" i="15"/>
  <c r="G53" i="15"/>
  <c r="G49" i="15"/>
  <c r="G43" i="15"/>
  <c r="G42" i="15"/>
  <c r="G41" i="15"/>
  <c r="G40" i="15"/>
  <c r="G33" i="15"/>
  <c r="G32" i="15"/>
  <c r="G31" i="15"/>
  <c r="G30" i="15"/>
  <c r="G29" i="15"/>
  <c r="G25" i="15"/>
  <c r="G15" i="15"/>
  <c r="G10" i="15"/>
  <c r="A9" i="15"/>
  <c r="G6" i="15"/>
  <c r="G7" i="15" s="1"/>
  <c r="C22" i="16" s="1"/>
  <c r="A24" i="16"/>
  <c r="D1260" i="1"/>
  <c r="G1260" i="1" s="1"/>
  <c r="G2496" i="1"/>
  <c r="G2495" i="1"/>
  <c r="G2494" i="1"/>
  <c r="G2493" i="1"/>
  <c r="G2492" i="1"/>
  <c r="G2491" i="1"/>
  <c r="G2490" i="1"/>
  <c r="G2489" i="1"/>
  <c r="G2488" i="1"/>
  <c r="G2487" i="1"/>
  <c r="G2486" i="1"/>
  <c r="G2485" i="1"/>
  <c r="G2484" i="1"/>
  <c r="G2483" i="1"/>
  <c r="D2456" i="1"/>
  <c r="D2453" i="1"/>
  <c r="C364" i="3"/>
  <c r="G101" i="15" l="1"/>
  <c r="G94" i="6"/>
  <c r="G30" i="11"/>
  <c r="G140" i="11"/>
  <c r="G50" i="11"/>
  <c r="G105" i="6"/>
  <c r="G1262" i="1"/>
  <c r="G1263" i="1" s="1"/>
  <c r="G1264" i="1" s="1"/>
  <c r="G44" i="6"/>
  <c r="C33" i="8" s="1"/>
  <c r="G9" i="6"/>
  <c r="G10" i="6" s="1"/>
  <c r="G86" i="6"/>
  <c r="G87" i="6" s="1"/>
  <c r="C44" i="8" s="1"/>
  <c r="G207" i="6"/>
  <c r="G9" i="9"/>
  <c r="G12" i="9"/>
  <c r="G13" i="9" s="1"/>
  <c r="F362" i="4"/>
  <c r="F395" i="4"/>
  <c r="F91" i="4"/>
  <c r="F105" i="4"/>
  <c r="F81" i="4"/>
  <c r="F89" i="4"/>
  <c r="F95" i="4"/>
  <c r="F101" i="4"/>
  <c r="F107" i="4"/>
  <c r="G2498" i="1"/>
  <c r="G66" i="11"/>
  <c r="G67" i="11"/>
  <c r="G2468" i="1"/>
  <c r="C373" i="3" s="1"/>
  <c r="A17" i="9"/>
  <c r="A23" i="9" s="1"/>
  <c r="G155" i="15"/>
  <c r="C68" i="16" s="1"/>
  <c r="G116" i="15"/>
  <c r="G179" i="15"/>
  <c r="G185" i="15"/>
  <c r="G155" i="6"/>
  <c r="G156" i="6" s="1"/>
  <c r="C61" i="8" s="1"/>
  <c r="G133" i="11"/>
  <c r="G93" i="15"/>
  <c r="G14" i="15"/>
  <c r="G11" i="15" s="1"/>
  <c r="G20" i="15" s="1"/>
  <c r="G186" i="6"/>
  <c r="C69" i="8" s="1"/>
  <c r="C29" i="10"/>
  <c r="G103" i="6"/>
  <c r="G160" i="6"/>
  <c r="G6" i="11"/>
  <c r="G73" i="11"/>
  <c r="G19" i="13"/>
  <c r="A13" i="4"/>
  <c r="F10" i="4" s="1"/>
  <c r="F100" i="4"/>
  <c r="F106" i="4"/>
  <c r="F114" i="4"/>
  <c r="F394" i="4"/>
  <c r="G58" i="6"/>
  <c r="G102" i="6"/>
  <c r="G104" i="6"/>
  <c r="G119" i="6"/>
  <c r="F165" i="6"/>
  <c r="G189" i="6"/>
  <c r="G198" i="6"/>
  <c r="G86" i="13"/>
  <c r="C24" i="10"/>
  <c r="F82" i="4"/>
  <c r="F90" i="4"/>
  <c r="F96" i="4"/>
  <c r="G2437" i="1"/>
  <c r="G2434" i="1"/>
  <c r="G2425" i="1"/>
  <c r="G2426" i="1" s="1"/>
  <c r="G2420" i="1"/>
  <c r="C20" i="10" l="1"/>
  <c r="G89" i="13" s="1"/>
  <c r="G107" i="6"/>
  <c r="G108" i="6" s="1"/>
  <c r="C49" i="8" s="1"/>
  <c r="A15" i="4"/>
  <c r="A17" i="4" s="1"/>
  <c r="A19" i="4" s="1"/>
  <c r="A21" i="4" s="1"/>
  <c r="A23" i="4" s="1"/>
  <c r="A25" i="4" s="1"/>
  <c r="A32" i="4" s="1"/>
  <c r="A34" i="4" s="1"/>
  <c r="A39" i="4" s="1"/>
  <c r="A41" i="4" s="1"/>
  <c r="A46" i="4" s="1"/>
  <c r="A51" i="4" s="1"/>
  <c r="A53" i="4" s="1"/>
  <c r="A58" i="4" s="1"/>
  <c r="A63" i="4" s="1"/>
  <c r="A66" i="4" s="1"/>
  <c r="A71" i="4" s="1"/>
  <c r="A80" i="4" s="1"/>
  <c r="A86" i="4" s="1"/>
  <c r="A88" i="4" s="1"/>
  <c r="A94" i="4" s="1"/>
  <c r="F83" i="4"/>
  <c r="A20" i="15"/>
  <c r="C26" i="16"/>
  <c r="G225" i="6"/>
  <c r="C83" i="8" s="1"/>
  <c r="G15" i="11"/>
  <c r="A29" i="9"/>
  <c r="G15" i="9"/>
  <c r="C22" i="10" s="1"/>
  <c r="C21" i="8"/>
  <c r="C24" i="16"/>
  <c r="G2442" i="1"/>
  <c r="C20" i="14"/>
  <c r="G21" i="13"/>
  <c r="C22" i="14" s="1"/>
  <c r="G2361" i="1"/>
  <c r="G2358" i="1"/>
  <c r="G2355" i="1"/>
  <c r="D2349" i="1"/>
  <c r="D2348" i="1"/>
  <c r="D2347" i="1"/>
  <c r="D2346" i="1"/>
  <c r="D2345" i="1"/>
  <c r="D2344" i="1"/>
  <c r="D2343" i="1"/>
  <c r="D2342" i="1"/>
  <c r="D2341" i="1"/>
  <c r="G2347" i="1" l="1"/>
  <c r="G2342" i="1"/>
  <c r="G2359" i="1"/>
  <c r="G2348" i="1"/>
  <c r="G2343" i="1"/>
  <c r="G2346" i="1"/>
  <c r="G2344" i="1"/>
  <c r="G2341" i="1"/>
  <c r="G2345" i="1"/>
  <c r="F92" i="4"/>
  <c r="A99" i="4"/>
  <c r="A35" i="9"/>
  <c r="A41" i="9" s="1"/>
  <c r="A26" i="16"/>
  <c r="G2356" i="1"/>
  <c r="G2334" i="1"/>
  <c r="D2327" i="1"/>
  <c r="C2327" i="1"/>
  <c r="B2327" i="1"/>
  <c r="D2326" i="1"/>
  <c r="C2326" i="1"/>
  <c r="D2325" i="1"/>
  <c r="C2325" i="1"/>
  <c r="B2325" i="1"/>
  <c r="D2324" i="1"/>
  <c r="C2324" i="1"/>
  <c r="B2324" i="1"/>
  <c r="D2323" i="1"/>
  <c r="C2323" i="1"/>
  <c r="B2323" i="1"/>
  <c r="D2322" i="1"/>
  <c r="C2322" i="1"/>
  <c r="D2321" i="1"/>
  <c r="C2321" i="1"/>
  <c r="G2321" i="1" s="1"/>
  <c r="B2321" i="1"/>
  <c r="D2315" i="1"/>
  <c r="C2315" i="1"/>
  <c r="D2314" i="1"/>
  <c r="C2314" i="1"/>
  <c r="B2314" i="1"/>
  <c r="D2313" i="1"/>
  <c r="C2313" i="1"/>
  <c r="D2312" i="1"/>
  <c r="C2312" i="1"/>
  <c r="B2312" i="1"/>
  <c r="D2311" i="1"/>
  <c r="C2311" i="1"/>
  <c r="B2311" i="1"/>
  <c r="D2310" i="1"/>
  <c r="C2310" i="1"/>
  <c r="B2310" i="1"/>
  <c r="D2309" i="1"/>
  <c r="C2309" i="1"/>
  <c r="B2309" i="1"/>
  <c r="D2308" i="1"/>
  <c r="C2308" i="1"/>
  <c r="B2308" i="1"/>
  <c r="D2307" i="1"/>
  <c r="C2307" i="1"/>
  <c r="B2307" i="1"/>
  <c r="D2306" i="1"/>
  <c r="C2306" i="1"/>
  <c r="B2306" i="1"/>
  <c r="D2305" i="1"/>
  <c r="C2305" i="1"/>
  <c r="B2305" i="1"/>
  <c r="D2299" i="1"/>
  <c r="C2299" i="1"/>
  <c r="D2298" i="1"/>
  <c r="C2298" i="1"/>
  <c r="B2298" i="1"/>
  <c r="D2297" i="1"/>
  <c r="C2297" i="1"/>
  <c r="D2296" i="1"/>
  <c r="C2296" i="1"/>
  <c r="D2295" i="1"/>
  <c r="C2295" i="1"/>
  <c r="B2295" i="1"/>
  <c r="D2294" i="1"/>
  <c r="C2294" i="1"/>
  <c r="D2293" i="1"/>
  <c r="C2293" i="1"/>
  <c r="B2293" i="1"/>
  <c r="G2313" i="1" l="1"/>
  <c r="G2309" i="1"/>
  <c r="G2295" i="1"/>
  <c r="G2322" i="1"/>
  <c r="G2315" i="1"/>
  <c r="G2324" i="1"/>
  <c r="G2297" i="1"/>
  <c r="G2327" i="1"/>
  <c r="G2293" i="1"/>
  <c r="G2323" i="1"/>
  <c r="G2325" i="1"/>
  <c r="G2326" i="1"/>
  <c r="G2314" i="1"/>
  <c r="G2310" i="1"/>
  <c r="G2298" i="1"/>
  <c r="G2299" i="1"/>
  <c r="G2312" i="1"/>
  <c r="G2311" i="1"/>
  <c r="G2305" i="1"/>
  <c r="G2308" i="1"/>
  <c r="G2296" i="1"/>
  <c r="G2306" i="1"/>
  <c r="G2294" i="1"/>
  <c r="G2307" i="1"/>
  <c r="A47" i="9"/>
  <c r="F97" i="4"/>
  <c r="A104" i="4"/>
  <c r="G2286" i="1"/>
  <c r="G2285" i="1"/>
  <c r="G2279" i="1"/>
  <c r="G2278" i="1"/>
  <c r="G2277" i="1"/>
  <c r="G2276" i="1"/>
  <c r="G2275" i="1"/>
  <c r="G2274" i="1"/>
  <c r="G2273" i="1"/>
  <c r="G2267" i="1"/>
  <c r="G2266" i="1"/>
  <c r="G2265" i="1"/>
  <c r="G2264" i="1"/>
  <c r="G2263" i="1"/>
  <c r="G2262" i="1"/>
  <c r="G2261" i="1"/>
  <c r="G2260" i="1"/>
  <c r="G2259" i="1"/>
  <c r="G2258" i="1"/>
  <c r="G2257" i="1"/>
  <c r="G2251" i="1"/>
  <c r="G2250" i="1"/>
  <c r="G2249" i="1"/>
  <c r="G2248" i="1"/>
  <c r="G2247" i="1"/>
  <c r="G2246" i="1"/>
  <c r="G2245" i="1"/>
  <c r="G2238" i="1"/>
  <c r="G2237" i="1"/>
  <c r="G2236" i="1"/>
  <c r="G2235" i="1"/>
  <c r="G2234" i="1"/>
  <c r="G2233" i="1"/>
  <c r="G2232" i="1"/>
  <c r="G2231" i="1"/>
  <c r="G2230" i="1"/>
  <c r="G2229" i="1"/>
  <c r="G2228" i="1"/>
  <c r="G2227" i="1"/>
  <c r="G2226" i="1"/>
  <c r="G2225" i="1"/>
  <c r="G2224" i="1"/>
  <c r="G2223" i="1"/>
  <c r="G2222" i="1"/>
  <c r="G2221" i="1"/>
  <c r="G2220" i="1"/>
  <c r="D2213" i="1"/>
  <c r="D2212" i="1"/>
  <c r="D2206" i="1"/>
  <c r="D2205" i="1"/>
  <c r="D2204" i="1"/>
  <c r="D2203" i="1"/>
  <c r="D2202" i="1"/>
  <c r="D2201" i="1"/>
  <c r="G2200" i="1"/>
  <c r="D2199" i="1"/>
  <c r="D2193" i="1"/>
  <c r="D2192" i="1"/>
  <c r="D2191" i="1"/>
  <c r="D2190" i="1"/>
  <c r="D2189" i="1"/>
  <c r="D2188" i="1"/>
  <c r="D2187" i="1"/>
  <c r="D2181" i="1"/>
  <c r="D2180" i="1"/>
  <c r="D2179" i="1"/>
  <c r="D2178" i="1"/>
  <c r="D2177" i="1"/>
  <c r="D2176" i="1"/>
  <c r="D2175" i="1"/>
  <c r="D2174" i="1"/>
  <c r="D2173" i="1"/>
  <c r="D2172" i="1"/>
  <c r="D2171" i="1"/>
  <c r="D2170" i="1"/>
  <c r="D2169" i="1"/>
  <c r="D2168" i="1"/>
  <c r="D2167" i="1"/>
  <c r="D2166" i="1"/>
  <c r="D2165" i="1"/>
  <c r="D2164" i="1"/>
  <c r="D2158" i="1"/>
  <c r="D2157" i="1"/>
  <c r="D2156" i="1"/>
  <c r="D2155" i="1"/>
  <c r="D2154" i="1"/>
  <c r="D2153" i="1"/>
  <c r="D2152" i="1"/>
  <c r="D2151" i="1"/>
  <c r="D2150" i="1"/>
  <c r="D2149" i="1"/>
  <c r="D2148" i="1"/>
  <c r="D2147" i="1"/>
  <c r="D2146" i="1"/>
  <c r="D2145" i="1"/>
  <c r="D2144" i="1"/>
  <c r="D2143" i="1"/>
  <c r="D2142" i="1"/>
  <c r="D2141" i="1"/>
  <c r="D2140" i="1"/>
  <c r="D2139" i="1"/>
  <c r="D2138" i="1"/>
  <c r="D2137" i="1"/>
  <c r="G2130" i="1"/>
  <c r="G2129" i="1"/>
  <c r="G2128" i="1"/>
  <c r="G2127" i="1"/>
  <c r="G2126" i="1"/>
  <c r="G2125" i="1"/>
  <c r="G2124" i="1"/>
  <c r="G2123" i="1"/>
  <c r="G2122" i="1"/>
  <c r="G2121" i="1"/>
  <c r="G2115" i="1"/>
  <c r="G2114" i="1"/>
  <c r="G2113" i="1"/>
  <c r="G2112" i="1"/>
  <c r="G2111" i="1"/>
  <c r="G2110" i="1"/>
  <c r="G2109" i="1"/>
  <c r="G2108" i="1"/>
  <c r="G2107" i="1"/>
  <c r="G2106" i="1"/>
  <c r="G2105" i="1"/>
  <c r="G2104" i="1"/>
  <c r="G2103" i="1"/>
  <c r="G2102" i="1"/>
  <c r="G2101" i="1"/>
  <c r="G2100" i="1"/>
  <c r="G2099" i="1"/>
  <c r="G2098" i="1"/>
  <c r="G2097" i="1"/>
  <c r="G2096" i="1"/>
  <c r="G2090" i="1"/>
  <c r="G2089" i="1"/>
  <c r="G2088" i="1"/>
  <c r="G2087" i="1"/>
  <c r="G2086" i="1"/>
  <c r="G2085" i="1"/>
  <c r="G2084" i="1"/>
  <c r="G2083" i="1"/>
  <c r="G2082" i="1"/>
  <c r="G2081" i="1"/>
  <c r="G2076" i="1"/>
  <c r="G2077" i="1" s="1"/>
  <c r="G2070" i="1"/>
  <c r="G2069" i="1"/>
  <c r="G2068" i="1"/>
  <c r="G2067" i="1"/>
  <c r="G2061" i="1"/>
  <c r="G2060" i="1"/>
  <c r="G2059" i="1"/>
  <c r="D2052" i="1"/>
  <c r="C2052" i="1"/>
  <c r="D2051" i="1"/>
  <c r="C2051" i="1"/>
  <c r="D2050" i="1"/>
  <c r="C2050" i="1"/>
  <c r="D2044" i="1"/>
  <c r="C2044" i="1"/>
  <c r="D2043" i="1"/>
  <c r="C2043" i="1"/>
  <c r="D2042" i="1"/>
  <c r="C2042" i="1"/>
  <c r="D2036" i="1"/>
  <c r="C2036" i="1"/>
  <c r="D2035" i="1"/>
  <c r="C2035" i="1"/>
  <c r="D2034" i="1"/>
  <c r="C2034" i="1"/>
  <c r="D2033" i="1"/>
  <c r="C2033" i="1"/>
  <c r="D2032" i="1"/>
  <c r="C2032" i="1"/>
  <c r="D2031" i="1"/>
  <c r="C2031" i="1"/>
  <c r="D2030" i="1"/>
  <c r="C2030" i="1"/>
  <c r="D2029" i="1"/>
  <c r="C2029" i="1"/>
  <c r="D2028" i="1"/>
  <c r="C2028" i="1"/>
  <c r="G2021" i="1"/>
  <c r="G2020" i="1"/>
  <c r="G2019" i="1"/>
  <c r="G2013" i="1"/>
  <c r="G2012" i="1"/>
  <c r="G2011" i="1"/>
  <c r="G2005" i="1"/>
  <c r="G2004" i="1"/>
  <c r="G2003" i="1"/>
  <c r="G2002" i="1"/>
  <c r="G2001" i="1"/>
  <c r="G2000" i="1"/>
  <c r="G1999" i="1"/>
  <c r="G1998" i="1"/>
  <c r="G1997" i="1"/>
  <c r="G1990" i="1"/>
  <c r="G1989" i="1"/>
  <c r="G1988" i="1"/>
  <c r="G1987" i="1"/>
  <c r="G1986" i="1"/>
  <c r="G1985" i="1"/>
  <c r="G1984" i="1"/>
  <c r="G1983" i="1"/>
  <c r="G1982" i="1"/>
  <c r="G1981" i="1"/>
  <c r="D1966" i="1"/>
  <c r="C1966" i="1"/>
  <c r="D1965" i="1"/>
  <c r="C1965" i="1"/>
  <c r="G2031" i="1" l="1"/>
  <c r="G2042" i="1"/>
  <c r="G2028" i="1"/>
  <c r="G2015" i="1"/>
  <c r="G2016" i="1" s="1"/>
  <c r="G2063" i="1"/>
  <c r="G1965" i="1"/>
  <c r="G2144" i="1"/>
  <c r="G1966" i="1"/>
  <c r="G2023" i="1"/>
  <c r="G2156" i="1"/>
  <c r="G2329" i="1"/>
  <c r="G2330" i="1" s="1"/>
  <c r="G2301" i="1"/>
  <c r="G2302" i="1" s="1"/>
  <c r="G2033" i="1"/>
  <c r="G2044" i="1"/>
  <c r="G2032" i="1"/>
  <c r="G2043" i="1"/>
  <c r="G2173" i="1"/>
  <c r="G2190" i="1"/>
  <c r="G2212" i="1"/>
  <c r="G2051" i="1"/>
  <c r="G2036" i="1"/>
  <c r="G2052" i="1"/>
  <c r="G2281" i="1"/>
  <c r="G2282" i="1" s="1"/>
  <c r="G2034" i="1"/>
  <c r="G2050" i="1"/>
  <c r="G2029" i="1"/>
  <c r="G2035" i="1"/>
  <c r="G2146" i="1"/>
  <c r="G2148" i="1"/>
  <c r="G2149" i="1"/>
  <c r="G2166" i="1"/>
  <c r="G2178" i="1"/>
  <c r="G2176" i="1"/>
  <c r="G2177" i="1"/>
  <c r="G2137" i="1"/>
  <c r="G2138" i="1"/>
  <c r="G2150" i="1"/>
  <c r="G2007" i="1"/>
  <c r="G2008" i="1" s="1"/>
  <c r="G2174" i="1"/>
  <c r="G2192" i="1"/>
  <c r="G2168" i="1"/>
  <c r="G2180" i="1"/>
  <c r="G2202" i="1"/>
  <c r="G2145" i="1"/>
  <c r="G2030" i="1"/>
  <c r="G2140" i="1"/>
  <c r="G2152" i="1"/>
  <c r="G2169" i="1"/>
  <c r="G2253" i="1"/>
  <c r="G2254" i="1" s="1"/>
  <c r="G2269" i="1"/>
  <c r="G2270" i="1" s="1"/>
  <c r="G2165" i="1"/>
  <c r="G2141" i="1"/>
  <c r="G2153" i="1"/>
  <c r="G2170" i="1"/>
  <c r="G2204" i="1"/>
  <c r="G2240" i="1"/>
  <c r="G2164" i="1"/>
  <c r="G2142" i="1"/>
  <c r="G2154" i="1"/>
  <c r="G2188" i="1"/>
  <c r="G2317" i="1"/>
  <c r="G2318" i="1" s="1"/>
  <c r="G2157" i="1"/>
  <c r="G2172" i="1"/>
  <c r="G2189" i="1"/>
  <c r="G2117" i="1"/>
  <c r="G2118" i="1" s="1"/>
  <c r="F102" i="4"/>
  <c r="A110" i="4"/>
  <c r="G2201" i="1"/>
  <c r="G2205" i="1"/>
  <c r="G2064" i="1"/>
  <c r="G2072" i="1"/>
  <c r="G2073" i="1" s="1"/>
  <c r="A52" i="9"/>
  <c r="G1992" i="1"/>
  <c r="G2092" i="1"/>
  <c r="G2093" i="1" s="1"/>
  <c r="G2132" i="1"/>
  <c r="G2139" i="1"/>
  <c r="G2143" i="1"/>
  <c r="G2147" i="1"/>
  <c r="G2151" i="1"/>
  <c r="G2155" i="1"/>
  <c r="G2167" i="1"/>
  <c r="G2171" i="1"/>
  <c r="G2175" i="1"/>
  <c r="G2179" i="1"/>
  <c r="G2187" i="1"/>
  <c r="G2191" i="1"/>
  <c r="G2199" i="1"/>
  <c r="G2203" i="1"/>
  <c r="C31" i="10"/>
  <c r="C78" i="9"/>
  <c r="D1958" i="1"/>
  <c r="C1958" i="1"/>
  <c r="D1957" i="1"/>
  <c r="C1957" i="1"/>
  <c r="D1956" i="1"/>
  <c r="C1956" i="1"/>
  <c r="D1955" i="1"/>
  <c r="C1955" i="1"/>
  <c r="D1954" i="1"/>
  <c r="C1954" i="1"/>
  <c r="D1953" i="1"/>
  <c r="C1953" i="1"/>
  <c r="D1952" i="1"/>
  <c r="C1952" i="1"/>
  <c r="D1951" i="1"/>
  <c r="C1951" i="1"/>
  <c r="D1950" i="1"/>
  <c r="C1950" i="1"/>
  <c r="D1949" i="1"/>
  <c r="C1949" i="1"/>
  <c r="D1948" i="1"/>
  <c r="C1948" i="1"/>
  <c r="D1947" i="1"/>
  <c r="C1947" i="1"/>
  <c r="D1946" i="1"/>
  <c r="C1946" i="1"/>
  <c r="D1940" i="1"/>
  <c r="C1940" i="1"/>
  <c r="D1939" i="1"/>
  <c r="C1939" i="1"/>
  <c r="D1938" i="1"/>
  <c r="C1938" i="1"/>
  <c r="D1937" i="1"/>
  <c r="C1937" i="1"/>
  <c r="D1936" i="1"/>
  <c r="C1936" i="1"/>
  <c r="D1935" i="1"/>
  <c r="C1935" i="1"/>
  <c r="D1934" i="1"/>
  <c r="C1934" i="1"/>
  <c r="D1933" i="1"/>
  <c r="C1933" i="1"/>
  <c r="D1932" i="1"/>
  <c r="C1932" i="1"/>
  <c r="D1931" i="1"/>
  <c r="C1931" i="1"/>
  <c r="D1930" i="1"/>
  <c r="C1930" i="1"/>
  <c r="D1929" i="1"/>
  <c r="C1929" i="1"/>
  <c r="D1928" i="1"/>
  <c r="C1928" i="1"/>
  <c r="D1927" i="1"/>
  <c r="C1927" i="1"/>
  <c r="D1926" i="1"/>
  <c r="C1926" i="1"/>
  <c r="D1925" i="1"/>
  <c r="C1925" i="1"/>
  <c r="D1924" i="1"/>
  <c r="C1924" i="1"/>
  <c r="D1923" i="1"/>
  <c r="C1923" i="1"/>
  <c r="D1922" i="1"/>
  <c r="C1922" i="1"/>
  <c r="D1921" i="1"/>
  <c r="C1921" i="1"/>
  <c r="D1920" i="1"/>
  <c r="C1920" i="1"/>
  <c r="D1919" i="1"/>
  <c r="C1919" i="1"/>
  <c r="D1918" i="1"/>
  <c r="C1918" i="1"/>
  <c r="D1912" i="1"/>
  <c r="C1912" i="1"/>
  <c r="D1911" i="1"/>
  <c r="C1911" i="1"/>
  <c r="D1910" i="1"/>
  <c r="C1910" i="1"/>
  <c r="D1909" i="1"/>
  <c r="C1909" i="1"/>
  <c r="D1908" i="1"/>
  <c r="C1908" i="1"/>
  <c r="D1907" i="1"/>
  <c r="C1907" i="1"/>
  <c r="D1906" i="1"/>
  <c r="C1906" i="1"/>
  <c r="D1905" i="1"/>
  <c r="C1905" i="1"/>
  <c r="D1904" i="1"/>
  <c r="C1904" i="1"/>
  <c r="D1903" i="1"/>
  <c r="C1903" i="1"/>
  <c r="D1902" i="1"/>
  <c r="C1902" i="1"/>
  <c r="D1901" i="1"/>
  <c r="C1901" i="1"/>
  <c r="D1900" i="1"/>
  <c r="C1900" i="1"/>
  <c r="D1899" i="1"/>
  <c r="C1899" i="1"/>
  <c r="D1898" i="1"/>
  <c r="C1898" i="1"/>
  <c r="D1897" i="1"/>
  <c r="C1897" i="1"/>
  <c r="D1896" i="1"/>
  <c r="C1896" i="1"/>
  <c r="D1895" i="1"/>
  <c r="C1895" i="1"/>
  <c r="D1894" i="1"/>
  <c r="C1894" i="1"/>
  <c r="D1893" i="1"/>
  <c r="C1893" i="1"/>
  <c r="D1892" i="1"/>
  <c r="C1892" i="1"/>
  <c r="D1891" i="1"/>
  <c r="C1891" i="1"/>
  <c r="D1890" i="1"/>
  <c r="C1890" i="1"/>
  <c r="D1889" i="1"/>
  <c r="C1889" i="1"/>
  <c r="D1888" i="1"/>
  <c r="C1888" i="1"/>
  <c r="D1887" i="1"/>
  <c r="C1887" i="1"/>
  <c r="D1886" i="1"/>
  <c r="C1886" i="1"/>
  <c r="D1879" i="1"/>
  <c r="G1878" i="1"/>
  <c r="D1877" i="1"/>
  <c r="G1876" i="1"/>
  <c r="G1869" i="1"/>
  <c r="G1868" i="1"/>
  <c r="G1867" i="1"/>
  <c r="G1860" i="1"/>
  <c r="G1859" i="1"/>
  <c r="G1858" i="1"/>
  <c r="G1857" i="1"/>
  <c r="G1856" i="1"/>
  <c r="G1889" i="1" l="1"/>
  <c r="G1895" i="1"/>
  <c r="G1901" i="1"/>
  <c r="G1907" i="1"/>
  <c r="G1924" i="1"/>
  <c r="G1936" i="1"/>
  <c r="G1947" i="1"/>
  <c r="G1953" i="1"/>
  <c r="G1898" i="1"/>
  <c r="G1910" i="1"/>
  <c r="G1921" i="1"/>
  <c r="G1927" i="1"/>
  <c r="G1939" i="1"/>
  <c r="G1950" i="1"/>
  <c r="G2046" i="1"/>
  <c r="G2047" i="1" s="1"/>
  <c r="G1968" i="1"/>
  <c r="G1887" i="1"/>
  <c r="G1893" i="1"/>
  <c r="G1899" i="1"/>
  <c r="G1905" i="1"/>
  <c r="G1911" i="1"/>
  <c r="G1928" i="1"/>
  <c r="G1940" i="1"/>
  <c r="G1951" i="1"/>
  <c r="G1957" i="1"/>
  <c r="G1906" i="1"/>
  <c r="G1923" i="1"/>
  <c r="G1903" i="1"/>
  <c r="G1909" i="1"/>
  <c r="G1920" i="1"/>
  <c r="G1932" i="1"/>
  <c r="G1955" i="1"/>
  <c r="G2054" i="1"/>
  <c r="G1896" i="1"/>
  <c r="G2038" i="1"/>
  <c r="G2039" i="1" s="1"/>
  <c r="G1912" i="1"/>
  <c r="G1902" i="1"/>
  <c r="G1919" i="1"/>
  <c r="G1925" i="1"/>
  <c r="G1931" i="1"/>
  <c r="G1937" i="1"/>
  <c r="G1949" i="1"/>
  <c r="G1894" i="1"/>
  <c r="G1922" i="1"/>
  <c r="G1929" i="1"/>
  <c r="G1935" i="1"/>
  <c r="G1958" i="1"/>
  <c r="G1938" i="1"/>
  <c r="G1890" i="1"/>
  <c r="G1891" i="1"/>
  <c r="G1897" i="1"/>
  <c r="G1892" i="1"/>
  <c r="G1918" i="1"/>
  <c r="G1952" i="1"/>
  <c r="G1908" i="1"/>
  <c r="G1926" i="1"/>
  <c r="G1956" i="1"/>
  <c r="G1904" i="1"/>
  <c r="G1900" i="1"/>
  <c r="G1934" i="1"/>
  <c r="G1948" i="1"/>
  <c r="G1930" i="1"/>
  <c r="G1888" i="1"/>
  <c r="G1933" i="1"/>
  <c r="G1954" i="1"/>
  <c r="F108" i="4"/>
  <c r="A113" i="4"/>
  <c r="G49" i="9"/>
  <c r="A58" i="9"/>
  <c r="C79" i="9"/>
  <c r="G78" i="9" s="1"/>
  <c r="C33" i="10"/>
  <c r="G1877" i="1"/>
  <c r="G1886" i="1"/>
  <c r="G1946" i="1"/>
  <c r="G1849" i="1"/>
  <c r="G1848" i="1"/>
  <c r="G1847" i="1"/>
  <c r="G1846" i="1"/>
  <c r="D1838" i="1"/>
  <c r="G1838" i="1" s="1"/>
  <c r="C1837" i="1"/>
  <c r="G1837" i="1" s="1"/>
  <c r="D1830" i="1"/>
  <c r="F1824" i="1"/>
  <c r="F1823" i="1"/>
  <c r="D1823" i="1"/>
  <c r="G1816" i="1"/>
  <c r="G1815" i="1"/>
  <c r="G1814" i="1"/>
  <c r="G1813" i="1"/>
  <c r="G1812" i="1"/>
  <c r="G1811" i="1"/>
  <c r="G1810" i="1"/>
  <c r="G1802" i="1"/>
  <c r="G1801" i="1"/>
  <c r="G1800" i="1"/>
  <c r="G1799" i="1"/>
  <c r="G1798" i="1"/>
  <c r="G1797" i="1"/>
  <c r="G1796" i="1"/>
  <c r="G1795" i="1"/>
  <c r="G1794" i="1"/>
  <c r="G1793" i="1"/>
  <c r="G1792" i="1"/>
  <c r="D1790" i="1"/>
  <c r="D1789" i="1"/>
  <c r="G1782" i="1"/>
  <c r="G1781" i="1"/>
  <c r="G1780" i="1"/>
  <c r="G1779" i="1"/>
  <c r="G1778" i="1"/>
  <c r="G1777" i="1"/>
  <c r="G1776" i="1"/>
  <c r="D1774" i="1"/>
  <c r="D1773" i="1"/>
  <c r="D1772" i="1"/>
  <c r="D1771" i="1"/>
  <c r="D1770" i="1"/>
  <c r="D1769" i="1"/>
  <c r="G1768" i="1"/>
  <c r="D1767" i="1"/>
  <c r="G1757" i="1"/>
  <c r="G1756" i="1"/>
  <c r="G1755" i="1"/>
  <c r="G1754" i="1"/>
  <c r="G1753" i="1"/>
  <c r="G1752" i="1"/>
  <c r="G1751" i="1"/>
  <c r="G1750" i="1"/>
  <c r="D1748" i="1"/>
  <c r="D1747" i="1"/>
  <c r="D1746" i="1"/>
  <c r="D1745" i="1"/>
  <c r="D1744" i="1"/>
  <c r="D1743" i="1"/>
  <c r="D1742" i="1"/>
  <c r="D1741" i="1"/>
  <c r="G1740" i="1"/>
  <c r="D1739" i="1"/>
  <c r="D1738" i="1"/>
  <c r="D1737" i="1"/>
  <c r="D1736" i="1"/>
  <c r="D1735" i="1"/>
  <c r="D1734" i="1"/>
  <c r="D1733" i="1"/>
  <c r="D1732" i="1"/>
  <c r="D1731" i="1"/>
  <c r="D1730" i="1"/>
  <c r="D1729" i="1"/>
  <c r="D1728" i="1"/>
  <c r="G1721" i="1"/>
  <c r="G1720" i="1"/>
  <c r="G1719" i="1"/>
  <c r="G1718" i="1"/>
  <c r="G1717" i="1"/>
  <c r="G1716" i="1"/>
  <c r="G1715" i="1"/>
  <c r="G1714" i="1"/>
  <c r="G1713" i="1"/>
  <c r="G1712" i="1"/>
  <c r="G1711" i="1"/>
  <c r="G1710" i="1"/>
  <c r="G1709" i="1"/>
  <c r="G1708" i="1"/>
  <c r="G1707" i="1"/>
  <c r="G1706" i="1"/>
  <c r="G1705" i="1"/>
  <c r="G1704"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3" i="1"/>
  <c r="G1662" i="1"/>
  <c r="G1661" i="1"/>
  <c r="G1660" i="1"/>
  <c r="G1659" i="1"/>
  <c r="G1658" i="1"/>
  <c r="G1657" i="1"/>
  <c r="G1656" i="1"/>
  <c r="G1655" i="1"/>
  <c r="G1654" i="1"/>
  <c r="G1653" i="1"/>
  <c r="G1652" i="1"/>
  <c r="G1651" i="1"/>
  <c r="G1650" i="1"/>
  <c r="G1649" i="1"/>
  <c r="G1648" i="1"/>
  <c r="G1647" i="1"/>
  <c r="G1646" i="1"/>
  <c r="D1645" i="1"/>
  <c r="D1644" i="1"/>
  <c r="D1643" i="1"/>
  <c r="D1642" i="1"/>
  <c r="G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E1601" i="1"/>
  <c r="D1601" i="1"/>
  <c r="C1601" i="1"/>
  <c r="E1600" i="1"/>
  <c r="D1600" i="1"/>
  <c r="C1600" i="1"/>
  <c r="E1599" i="1"/>
  <c r="D1599" i="1"/>
  <c r="C1599" i="1"/>
  <c r="E1598" i="1"/>
  <c r="D1598" i="1"/>
  <c r="C1598" i="1"/>
  <c r="E1597" i="1"/>
  <c r="D1597" i="1"/>
  <c r="C1597" i="1"/>
  <c r="E1596" i="1"/>
  <c r="D1596" i="1"/>
  <c r="C1596" i="1"/>
  <c r="E1595" i="1"/>
  <c r="D1595" i="1"/>
  <c r="C1595" i="1"/>
  <c r="E1594" i="1"/>
  <c r="D1594" i="1"/>
  <c r="C1594" i="1"/>
  <c r="E1593" i="1"/>
  <c r="D1593" i="1"/>
  <c r="C1593" i="1"/>
  <c r="E1592" i="1"/>
  <c r="D1592" i="1"/>
  <c r="C1592" i="1"/>
  <c r="E1591" i="1"/>
  <c r="D1591" i="1"/>
  <c r="C1591" i="1"/>
  <c r="E1590" i="1"/>
  <c r="D1590" i="1"/>
  <c r="C1590" i="1"/>
  <c r="E1589" i="1"/>
  <c r="D1589" i="1"/>
  <c r="C1589" i="1"/>
  <c r="G1588" i="1"/>
  <c r="G1587" i="1"/>
  <c r="G1586" i="1"/>
  <c r="G1585" i="1"/>
  <c r="G1584" i="1"/>
  <c r="G1583" i="1"/>
  <c r="G1582" i="1"/>
  <c r="G1581" i="1"/>
  <c r="G1580" i="1"/>
  <c r="G1579" i="1"/>
  <c r="G1578" i="1"/>
  <c r="G1577" i="1"/>
  <c r="G1576" i="1"/>
  <c r="G1575" i="1"/>
  <c r="G1574" i="1"/>
  <c r="G1573" i="1"/>
  <c r="E1567" i="1"/>
  <c r="D1567" i="1"/>
  <c r="C1567" i="1"/>
  <c r="E1566" i="1"/>
  <c r="D1566" i="1"/>
  <c r="C1566" i="1"/>
  <c r="E1565" i="1"/>
  <c r="D1565" i="1"/>
  <c r="C1565" i="1"/>
  <c r="E1564" i="1"/>
  <c r="D1564" i="1"/>
  <c r="C1564" i="1"/>
  <c r="E1563" i="1"/>
  <c r="D1563" i="1"/>
  <c r="C1563" i="1"/>
  <c r="E1562" i="1"/>
  <c r="D1562" i="1"/>
  <c r="C1562" i="1"/>
  <c r="E1561" i="1"/>
  <c r="D1561" i="1"/>
  <c r="C1561" i="1"/>
  <c r="E1560" i="1"/>
  <c r="D1560" i="1"/>
  <c r="C1560" i="1"/>
  <c r="E1559" i="1"/>
  <c r="D1559" i="1"/>
  <c r="C1559" i="1"/>
  <c r="E1558" i="1"/>
  <c r="D1558" i="1"/>
  <c r="C1558" i="1"/>
  <c r="E1557" i="1"/>
  <c r="D1557" i="1"/>
  <c r="C1557" i="1"/>
  <c r="E1556" i="1"/>
  <c r="D1556" i="1"/>
  <c r="C1556" i="1"/>
  <c r="E1555" i="1"/>
  <c r="D1555" i="1"/>
  <c r="C1555" i="1"/>
  <c r="E1554" i="1"/>
  <c r="D1554" i="1"/>
  <c r="C1554" i="1"/>
  <c r="E1553" i="1"/>
  <c r="D1553" i="1"/>
  <c r="C1553" i="1"/>
  <c r="E1552" i="1"/>
  <c r="D1552" i="1"/>
  <c r="C1552" i="1"/>
  <c r="E1551" i="1"/>
  <c r="D1551" i="1"/>
  <c r="C1551" i="1"/>
  <c r="E1550" i="1"/>
  <c r="D1550" i="1"/>
  <c r="C1550" i="1"/>
  <c r="E1549" i="1"/>
  <c r="D1549" i="1"/>
  <c r="C1549" i="1"/>
  <c r="E1548" i="1"/>
  <c r="D1548" i="1"/>
  <c r="C1548" i="1"/>
  <c r="E1547" i="1"/>
  <c r="D1547" i="1"/>
  <c r="C1547" i="1"/>
  <c r="E1546" i="1"/>
  <c r="E1545"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E1509" i="1"/>
  <c r="E1508" i="1"/>
  <c r="E1507" i="1"/>
  <c r="E1506" i="1"/>
  <c r="E1505" i="1"/>
  <c r="E1504" i="1"/>
  <c r="E1503" i="1"/>
  <c r="E1502" i="1"/>
  <c r="E1501" i="1"/>
  <c r="E1500" i="1"/>
  <c r="E1499" i="1"/>
  <c r="E1498" i="1"/>
  <c r="E1497" i="1"/>
  <c r="E1496" i="1"/>
  <c r="E1495" i="1"/>
  <c r="E1494" i="1"/>
  <c r="E1493" i="1"/>
  <c r="E1492" i="1"/>
  <c r="E1491" i="1"/>
  <c r="E1490" i="1"/>
  <c r="E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E1456" i="1"/>
  <c r="D1456" i="1"/>
  <c r="G1455" i="1"/>
  <c r="G1454" i="1"/>
  <c r="G1453" i="1"/>
  <c r="G1446" i="1"/>
  <c r="G1439" i="1"/>
  <c r="G1438" i="1"/>
  <c r="G1431" i="1"/>
  <c r="G1430" i="1"/>
  <c r="G1429" i="1"/>
  <c r="G1423" i="1"/>
  <c r="G1422" i="1"/>
  <c r="G1421" i="1"/>
  <c r="G1420" i="1"/>
  <c r="G1419" i="1"/>
  <c r="G1418" i="1"/>
  <c r="G1417" i="1"/>
  <c r="G1409" i="1"/>
  <c r="G1408" i="1"/>
  <c r="G1401" i="1"/>
  <c r="G1400" i="1"/>
  <c r="G1841" i="1" l="1"/>
  <c r="G1591" i="1"/>
  <c r="G1595" i="1"/>
  <c r="G1599" i="1"/>
  <c r="G1823" i="1"/>
  <c r="G1621" i="1"/>
  <c r="G1730" i="1"/>
  <c r="G1609" i="1"/>
  <c r="G1645" i="1"/>
  <c r="G1614" i="1"/>
  <c r="G1626" i="1"/>
  <c r="G1638" i="1"/>
  <c r="G1680" i="1"/>
  <c r="G1633" i="1"/>
  <c r="G1742" i="1"/>
  <c r="G1673" i="1"/>
  <c r="G1608" i="1"/>
  <c r="G1620" i="1"/>
  <c r="G1632" i="1"/>
  <c r="G1644" i="1"/>
  <c r="G1686" i="1"/>
  <c r="G1629" i="1"/>
  <c r="G1622" i="1"/>
  <c r="G1676" i="1"/>
  <c r="G1688" i="1"/>
  <c r="G1617" i="1"/>
  <c r="G1634" i="1"/>
  <c r="G1738" i="1"/>
  <c r="G1685" i="1"/>
  <c r="G1610" i="1"/>
  <c r="G1700" i="1"/>
  <c r="G1731" i="1"/>
  <c r="G1692" i="1"/>
  <c r="G1735" i="1"/>
  <c r="G1555" i="1"/>
  <c r="G1547" i="1"/>
  <c r="G1636" i="1"/>
  <c r="G1678" i="1"/>
  <c r="G1441" i="1"/>
  <c r="G1442" i="1" s="1"/>
  <c r="C230" i="3" s="1"/>
  <c r="G1592" i="1"/>
  <c r="G1596" i="1"/>
  <c r="G1600" i="1"/>
  <c r="G1613" i="1"/>
  <c r="G1625" i="1"/>
  <c r="G1637" i="1"/>
  <c r="G1734" i="1"/>
  <c r="G1746" i="1"/>
  <c r="G1563" i="1"/>
  <c r="G1612" i="1"/>
  <c r="G1690" i="1"/>
  <c r="G1767" i="1"/>
  <c r="G1677" i="1"/>
  <c r="G1702" i="1"/>
  <c r="G1745" i="1"/>
  <c r="G1425" i="1"/>
  <c r="G1426" i="1" s="1"/>
  <c r="C226" i="3" s="1"/>
  <c r="G1681" i="1"/>
  <c r="G1693" i="1"/>
  <c r="G1770" i="1"/>
  <c r="G1789" i="1"/>
  <c r="G1818" i="1"/>
  <c r="G1819" i="1" s="1"/>
  <c r="G1624" i="1"/>
  <c r="G1733" i="1"/>
  <c r="G1589" i="1"/>
  <c r="G1593" i="1"/>
  <c r="G1597" i="1"/>
  <c r="G1601" i="1"/>
  <c r="G1616" i="1"/>
  <c r="G1628" i="1"/>
  <c r="G1640" i="1"/>
  <c r="G1670" i="1"/>
  <c r="G1682" i="1"/>
  <c r="G1694" i="1"/>
  <c r="G1737" i="1"/>
  <c r="G1567" i="1"/>
  <c r="G1559" i="1"/>
  <c r="G1701" i="1"/>
  <c r="G1618" i="1"/>
  <c r="G1630" i="1"/>
  <c r="G1642" i="1"/>
  <c r="G1672" i="1"/>
  <c r="G1684" i="1"/>
  <c r="G1696" i="1"/>
  <c r="G1551" i="1"/>
  <c r="G1456" i="1"/>
  <c r="G1590" i="1"/>
  <c r="G1594" i="1"/>
  <c r="G1598" i="1"/>
  <c r="G1697" i="1"/>
  <c r="G1774" i="1"/>
  <c r="G1689" i="1"/>
  <c r="G1674" i="1"/>
  <c r="G1698" i="1"/>
  <c r="G1729" i="1"/>
  <c r="G1741" i="1"/>
  <c r="G1557" i="1"/>
  <c r="G1564" i="1"/>
  <c r="G1553" i="1"/>
  <c r="G1554" i="1"/>
  <c r="G1558" i="1"/>
  <c r="G1562" i="1"/>
  <c r="G1566" i="1"/>
  <c r="G1556" i="1"/>
  <c r="G1549" i="1"/>
  <c r="G1550" i="1"/>
  <c r="G1560" i="1"/>
  <c r="G1561" i="1"/>
  <c r="G1960" i="1"/>
  <c r="G1961" i="1" s="1"/>
  <c r="G1552" i="1"/>
  <c r="G1565" i="1"/>
  <c r="G1942" i="1"/>
  <c r="G1943" i="1" s="1"/>
  <c r="G1548" i="1"/>
  <c r="G1914" i="1"/>
  <c r="G1915" i="1" s="1"/>
  <c r="G1739" i="1"/>
  <c r="G1743" i="1"/>
  <c r="G1747" i="1"/>
  <c r="G1771" i="1"/>
  <c r="G1411" i="1"/>
  <c r="G1611" i="1"/>
  <c r="G1615" i="1"/>
  <c r="G1619" i="1"/>
  <c r="G1623" i="1"/>
  <c r="G1627" i="1"/>
  <c r="G1631" i="1"/>
  <c r="G1635" i="1"/>
  <c r="G1639" i="1"/>
  <c r="G1643" i="1"/>
  <c r="G1671" i="1"/>
  <c r="G1675" i="1"/>
  <c r="G1679" i="1"/>
  <c r="G1683" i="1"/>
  <c r="G1687" i="1"/>
  <c r="G1691" i="1"/>
  <c r="G1695" i="1"/>
  <c r="G1699" i="1"/>
  <c r="G1728" i="1"/>
  <c r="G1732" i="1"/>
  <c r="G1736" i="1"/>
  <c r="G1744" i="1"/>
  <c r="G1748" i="1"/>
  <c r="G1772" i="1"/>
  <c r="G1790" i="1"/>
  <c r="C39" i="10"/>
  <c r="A64" i="9"/>
  <c r="G1403" i="1"/>
  <c r="G1433" i="1"/>
  <c r="G1769" i="1"/>
  <c r="G1773" i="1"/>
  <c r="C80" i="9"/>
  <c r="G79" i="9" s="1"/>
  <c r="C35" i="10"/>
  <c r="F111" i="4"/>
  <c r="A117" i="4"/>
  <c r="G1393" i="1"/>
  <c r="G1392" i="1"/>
  <c r="G1391" i="1"/>
  <c r="G1390" i="1"/>
  <c r="G1389" i="1"/>
  <c r="G1388" i="1"/>
  <c r="G1383" i="1"/>
  <c r="G1375" i="1"/>
  <c r="G1374" i="1"/>
  <c r="G1373" i="1"/>
  <c r="G1366" i="1"/>
  <c r="G1365" i="1"/>
  <c r="G1364" i="1"/>
  <c r="G1363" i="1"/>
  <c r="G1362" i="1"/>
  <c r="G1361" i="1"/>
  <c r="G1360" i="1"/>
  <c r="G1359" i="1"/>
  <c r="G1358" i="1"/>
  <c r="G1351" i="1"/>
  <c r="G1350" i="1"/>
  <c r="G1349" i="1"/>
  <c r="G1348" i="1"/>
  <c r="G1347" i="1"/>
  <c r="G1346" i="1"/>
  <c r="G1345" i="1"/>
  <c r="G1344" i="1"/>
  <c r="G1343" i="1"/>
  <c r="G1342" i="1"/>
  <c r="G1316" i="1"/>
  <c r="G1315" i="1"/>
  <c r="G1314" i="1"/>
  <c r="G1308" i="1"/>
  <c r="G1307" i="1"/>
  <c r="G1306" i="1"/>
  <c r="G1305" i="1"/>
  <c r="G1304" i="1"/>
  <c r="G1303" i="1"/>
  <c r="G1302" i="1"/>
  <c r="G1301" i="1"/>
  <c r="G1300" i="1"/>
  <c r="G1294" i="1"/>
  <c r="G1293" i="1"/>
  <c r="G1292" i="1"/>
  <c r="G1291" i="1"/>
  <c r="G1290" i="1"/>
  <c r="G1289" i="1"/>
  <c r="G1288" i="1"/>
  <c r="G1287" i="1"/>
  <c r="G1247" i="1"/>
  <c r="G1246" i="1"/>
  <c r="G1245" i="1"/>
  <c r="G1244" i="1"/>
  <c r="G1243" i="1"/>
  <c r="G1242" i="1"/>
  <c r="G1241" i="1"/>
  <c r="G1240" i="1"/>
  <c r="G1239" i="1"/>
  <c r="G1232" i="1"/>
  <c r="G1231" i="1"/>
  <c r="G1230" i="1"/>
  <c r="G1229" i="1"/>
  <c r="G1228" i="1"/>
  <c r="G1227" i="1"/>
  <c r="G1226" i="1"/>
  <c r="G1225" i="1"/>
  <c r="G1219" i="1"/>
  <c r="G1215" i="1"/>
  <c r="G1211" i="1"/>
  <c r="D1206" i="1"/>
  <c r="D1202" i="1"/>
  <c r="D1198" i="1"/>
  <c r="G1191" i="1"/>
  <c r="G1190" i="1"/>
  <c r="G1189" i="1"/>
  <c r="G1183" i="1"/>
  <c r="G1182" i="1"/>
  <c r="G1181" i="1"/>
  <c r="G1177" i="1"/>
  <c r="D1170" i="1"/>
  <c r="C1170" i="1"/>
  <c r="D1169" i="1"/>
  <c r="C1169" i="1"/>
  <c r="D1168" i="1"/>
  <c r="C1168" i="1"/>
  <c r="D1162" i="1"/>
  <c r="C1162" i="1"/>
  <c r="D1161" i="1"/>
  <c r="C1161" i="1"/>
  <c r="D1160" i="1"/>
  <c r="C1160" i="1"/>
  <c r="D1156" i="1"/>
  <c r="C1156" i="1"/>
  <c r="G1150" i="1"/>
  <c r="G1145" i="1"/>
  <c r="G1139" i="1"/>
  <c r="G1138" i="1"/>
  <c r="G1137" i="1"/>
  <c r="G1136" i="1"/>
  <c r="G1135" i="1"/>
  <c r="G1134" i="1"/>
  <c r="G1127" i="1"/>
  <c r="G1126" i="1"/>
  <c r="G1122" i="1"/>
  <c r="G1116" i="1"/>
  <c r="G1115" i="1"/>
  <c r="G1114" i="1"/>
  <c r="G1113" i="1"/>
  <c r="G1111" i="1"/>
  <c r="G1105" i="1"/>
  <c r="G1104" i="1"/>
  <c r="G1097" i="1"/>
  <c r="G1096" i="1"/>
  <c r="G1095" i="1"/>
  <c r="G1094" i="1"/>
  <c r="G1093" i="1"/>
  <c r="D1088" i="1"/>
  <c r="G1088" i="1" s="1"/>
  <c r="D1087" i="1"/>
  <c r="G1086" i="1"/>
  <c r="G1085" i="1"/>
  <c r="G1084" i="1"/>
  <c r="G1083" i="1"/>
  <c r="G1082" i="1"/>
  <c r="G1081" i="1"/>
  <c r="G1080" i="1"/>
  <c r="G1079" i="1"/>
  <c r="G1078" i="1"/>
  <c r="G1077" i="1"/>
  <c r="G1076" i="1"/>
  <c r="G1070" i="1"/>
  <c r="G1069" i="1"/>
  <c r="G1068" i="1"/>
  <c r="G1067" i="1"/>
  <c r="G1066" i="1"/>
  <c r="G1065" i="1"/>
  <c r="G1064" i="1"/>
  <c r="G1063" i="1"/>
  <c r="G1062" i="1"/>
  <c r="G1061" i="1"/>
  <c r="G1060" i="1"/>
  <c r="D1053" i="1"/>
  <c r="G1052" i="1"/>
  <c r="G1051" i="1"/>
  <c r="G1050" i="1"/>
  <c r="G1049" i="1"/>
  <c r="G1048" i="1"/>
  <c r="G1047" i="1"/>
  <c r="G1046" i="1"/>
  <c r="G1045" i="1"/>
  <c r="G1044" i="1"/>
  <c r="G1043" i="1"/>
  <c r="G1042" i="1"/>
  <c r="G1041" i="1"/>
  <c r="G1040" i="1"/>
  <c r="G1039" i="1"/>
  <c r="G1038" i="1"/>
  <c r="G1037" i="1"/>
  <c r="G1036" i="1"/>
  <c r="G1035" i="1"/>
  <c r="D1028" i="1"/>
  <c r="G1027" i="1"/>
  <c r="G1026" i="1"/>
  <c r="G1025" i="1"/>
  <c r="G1024" i="1"/>
  <c r="G1023" i="1"/>
  <c r="G1022" i="1"/>
  <c r="G1021" i="1"/>
  <c r="G1020" i="1"/>
  <c r="G1019" i="1"/>
  <c r="G1018" i="1"/>
  <c r="G1017" i="1"/>
  <c r="G1016" i="1"/>
  <c r="G1015" i="1"/>
  <c r="G1014" i="1"/>
  <c r="G1013" i="1"/>
  <c r="G1012" i="1"/>
  <c r="G1011" i="1"/>
  <c r="D1009" i="1"/>
  <c r="G1008" i="1"/>
  <c r="F1007" i="1"/>
  <c r="G1006" i="1"/>
  <c r="G1005" i="1"/>
  <c r="F1004" i="1"/>
  <c r="G1003" i="1"/>
  <c r="G1002" i="1"/>
  <c r="F1001" i="1"/>
  <c r="G1000" i="1"/>
  <c r="G999" i="1"/>
  <c r="F998" i="1"/>
  <c r="G997" i="1"/>
  <c r="G996" i="1"/>
  <c r="F995" i="1"/>
  <c r="G994" i="1"/>
  <c r="G993" i="1"/>
  <c r="F992" i="1"/>
  <c r="G991" i="1"/>
  <c r="F990" i="1"/>
  <c r="G989" i="1"/>
  <c r="F988" i="1"/>
  <c r="F987" i="1"/>
  <c r="G986" i="1"/>
  <c r="G985" i="1"/>
  <c r="F984" i="1"/>
  <c r="G983" i="1"/>
  <c r="F982" i="1"/>
  <c r="G981" i="1"/>
  <c r="G980" i="1"/>
  <c r="G979" i="1"/>
  <c r="F978" i="1"/>
  <c r="G977" i="1"/>
  <c r="G976" i="1"/>
  <c r="G975" i="1"/>
  <c r="F974" i="1"/>
  <c r="G973" i="1"/>
  <c r="G972" i="1"/>
  <c r="G971" i="1"/>
  <c r="F970" i="1"/>
  <c r="G969" i="1"/>
  <c r="G968" i="1"/>
  <c r="G967" i="1"/>
  <c r="F966" i="1"/>
  <c r="G965" i="1"/>
  <c r="G964" i="1"/>
  <c r="G963" i="1"/>
  <c r="F962" i="1"/>
  <c r="G961" i="1"/>
  <c r="G960" i="1"/>
  <c r="G959" i="1"/>
  <c r="F958" i="1"/>
  <c r="G957" i="1"/>
  <c r="G956" i="1"/>
  <c r="G955" i="1"/>
  <c r="F954" i="1"/>
  <c r="G953" i="1"/>
  <c r="G1234" i="1" l="1"/>
  <c r="G1321" i="1"/>
  <c r="G1129" i="1"/>
  <c r="G1161" i="1"/>
  <c r="G1162" i="1"/>
  <c r="G1156" i="1"/>
  <c r="G1157" i="1" s="1"/>
  <c r="G1804" i="1"/>
  <c r="G1722" i="1" s="1"/>
  <c r="G1170" i="1"/>
  <c r="G1377" i="1"/>
  <c r="G1322" i="1"/>
  <c r="G1169" i="1"/>
  <c r="G962" i="1"/>
  <c r="G1758" i="1"/>
  <c r="G1760" i="1" s="1"/>
  <c r="G2381" i="1" s="1"/>
  <c r="G1603" i="1"/>
  <c r="G1604" i="1" s="1"/>
  <c r="G1160" i="1"/>
  <c r="G1784" i="1"/>
  <c r="G1785" i="1" s="1"/>
  <c r="G1664" i="1" s="1"/>
  <c r="G1663" i="1" s="1"/>
  <c r="G1185" i="1"/>
  <c r="G1186" i="1" s="1"/>
  <c r="G1395" i="1"/>
  <c r="G978" i="1"/>
  <c r="G1118" i="1"/>
  <c r="G1119" i="1" s="1"/>
  <c r="G990" i="1"/>
  <c r="G970" i="1"/>
  <c r="G1007" i="1"/>
  <c r="G1193" i="1"/>
  <c r="G954" i="1"/>
  <c r="G1368" i="1"/>
  <c r="G1216" i="1"/>
  <c r="G995" i="1"/>
  <c r="G958" i="1"/>
  <c r="G974" i="1"/>
  <c r="G998" i="1"/>
  <c r="G966" i="1"/>
  <c r="G982" i="1"/>
  <c r="G988" i="1"/>
  <c r="G1310" i="1"/>
  <c r="C1332" i="1" s="1"/>
  <c r="G1296" i="1"/>
  <c r="G987" i="1"/>
  <c r="G1053" i="1"/>
  <c r="G1087" i="1"/>
  <c r="G1099" i="1" s="1"/>
  <c r="F115" i="4"/>
  <c r="A122" i="4"/>
  <c r="A129" i="4" s="1"/>
  <c r="A131" i="4" s="1"/>
  <c r="A133" i="4" s="1"/>
  <c r="A139" i="4" s="1"/>
  <c r="A142" i="4" s="1"/>
  <c r="A148" i="4" s="1"/>
  <c r="A153" i="4" s="1"/>
  <c r="A158" i="4" s="1"/>
  <c r="A164" i="4" s="1"/>
  <c r="A170" i="4" s="1"/>
  <c r="A174" i="4" s="1"/>
  <c r="A183" i="4" s="1"/>
  <c r="A189" i="4" s="1"/>
  <c r="A191" i="4" s="1"/>
  <c r="A196" i="4" s="1"/>
  <c r="A201" i="4" s="1"/>
  <c r="A206" i="4" s="1"/>
  <c r="A208" i="4" s="1"/>
  <c r="A211" i="4" s="1"/>
  <c r="A216" i="4" s="1"/>
  <c r="A221" i="4" s="1"/>
  <c r="A226" i="4" s="1"/>
  <c r="A231" i="4" s="1"/>
  <c r="A236" i="4" s="1"/>
  <c r="A241" i="4" s="1"/>
  <c r="A247" i="4" s="1"/>
  <c r="G992" i="1"/>
  <c r="G1004" i="1"/>
  <c r="G1107" i="1"/>
  <c r="G1108" i="1" s="1"/>
  <c r="G1168" i="1"/>
  <c r="G1353" i="1"/>
  <c r="G984" i="1"/>
  <c r="G1001" i="1"/>
  <c r="G1009" i="1"/>
  <c r="G1141" i="1"/>
  <c r="G1142" i="1" s="1"/>
  <c r="G1178" i="1"/>
  <c r="G1212" i="1"/>
  <c r="G1249" i="1"/>
  <c r="C41" i="10"/>
  <c r="A70" i="9"/>
  <c r="C43" i="10" s="1"/>
  <c r="E891" i="1"/>
  <c r="D891" i="1"/>
  <c r="C891" i="1"/>
  <c r="E890" i="1"/>
  <c r="D890" i="1"/>
  <c r="C890" i="1"/>
  <c r="E889" i="1"/>
  <c r="D889" i="1"/>
  <c r="C889" i="1"/>
  <c r="E888" i="1"/>
  <c r="D888" i="1"/>
  <c r="C888" i="1"/>
  <c r="E882" i="1"/>
  <c r="D882" i="1"/>
  <c r="C882" i="1"/>
  <c r="E881" i="1"/>
  <c r="D881" i="1"/>
  <c r="C881" i="1"/>
  <c r="E880" i="1"/>
  <c r="D880" i="1"/>
  <c r="C880" i="1"/>
  <c r="E874" i="1"/>
  <c r="D874" i="1"/>
  <c r="C874" i="1"/>
  <c r="E873" i="1"/>
  <c r="D873" i="1"/>
  <c r="C873" i="1"/>
  <c r="E872" i="1"/>
  <c r="D872" i="1"/>
  <c r="C872" i="1"/>
  <c r="E871" i="1"/>
  <c r="D871" i="1"/>
  <c r="C871" i="1"/>
  <c r="E870" i="1"/>
  <c r="D870" i="1"/>
  <c r="C870" i="1"/>
  <c r="E869" i="1"/>
  <c r="D869" i="1"/>
  <c r="C869" i="1"/>
  <c r="E868" i="1"/>
  <c r="C868" i="1"/>
  <c r="E867" i="1"/>
  <c r="D867" i="1"/>
  <c r="C867" i="1"/>
  <c r="F860" i="1"/>
  <c r="D860" i="1"/>
  <c r="C860" i="1"/>
  <c r="F859" i="1"/>
  <c r="D859" i="1"/>
  <c r="C859" i="1"/>
  <c r="B859" i="1"/>
  <c r="F853" i="1"/>
  <c r="D853" i="1"/>
  <c r="C853" i="1"/>
  <c r="F852" i="1"/>
  <c r="C852" i="1"/>
  <c r="F851" i="1"/>
  <c r="C851" i="1"/>
  <c r="F850" i="1"/>
  <c r="D850" i="1"/>
  <c r="C850" i="1"/>
  <c r="D821" i="1"/>
  <c r="C821" i="1"/>
  <c r="D820" i="1"/>
  <c r="C820" i="1"/>
  <c r="D819" i="1"/>
  <c r="C819" i="1"/>
  <c r="D818" i="1"/>
  <c r="C818" i="1"/>
  <c r="D817" i="1"/>
  <c r="C817" i="1"/>
  <c r="D816" i="1"/>
  <c r="C816" i="1"/>
  <c r="E804" i="1"/>
  <c r="D804" i="1"/>
  <c r="C804" i="1"/>
  <c r="B804" i="1"/>
  <c r="E803" i="1"/>
  <c r="D803" i="1"/>
  <c r="D843" i="1" s="1"/>
  <c r="C803" i="1"/>
  <c r="B803" i="1"/>
  <c r="E802" i="1"/>
  <c r="D802" i="1"/>
  <c r="C802" i="1"/>
  <c r="C842" i="1" s="1"/>
  <c r="B802" i="1"/>
  <c r="E796" i="1"/>
  <c r="D796" i="1"/>
  <c r="C796" i="1"/>
  <c r="C836" i="1" s="1"/>
  <c r="E795" i="1"/>
  <c r="D795" i="1"/>
  <c r="C795" i="1"/>
  <c r="E789" i="1"/>
  <c r="D789" i="1"/>
  <c r="C789" i="1"/>
  <c r="E788" i="1"/>
  <c r="D788" i="1"/>
  <c r="C788" i="1"/>
  <c r="E787" i="1"/>
  <c r="D787" i="1"/>
  <c r="C787" i="1"/>
  <c r="G781" i="1"/>
  <c r="G780" i="1"/>
  <c r="G779" i="1"/>
  <c r="G778" i="1"/>
  <c r="G777" i="1"/>
  <c r="G776" i="1"/>
  <c r="E775" i="1"/>
  <c r="D775" i="1"/>
  <c r="C775" i="1"/>
  <c r="E774" i="1"/>
  <c r="D774" i="1"/>
  <c r="C774" i="1"/>
  <c r="E773" i="1"/>
  <c r="D773" i="1"/>
  <c r="C773" i="1"/>
  <c r="E772" i="1"/>
  <c r="D772" i="1"/>
  <c r="C772" i="1"/>
  <c r="E771" i="1"/>
  <c r="D771" i="1"/>
  <c r="C771" i="1"/>
  <c r="G764" i="1"/>
  <c r="G763" i="1"/>
  <c r="G762" i="1"/>
  <c r="G757" i="1"/>
  <c r="G756" i="1"/>
  <c r="G755" i="1"/>
  <c r="G750" i="1"/>
  <c r="G749" i="1"/>
  <c r="G748" i="1"/>
  <c r="G747" i="1"/>
  <c r="G746" i="1"/>
  <c r="G745" i="1"/>
  <c r="F738" i="1"/>
  <c r="D738" i="1"/>
  <c r="C738" i="1"/>
  <c r="B738" i="1"/>
  <c r="F737" i="1"/>
  <c r="D737" i="1"/>
  <c r="C737" i="1"/>
  <c r="B737" i="1"/>
  <c r="F736" i="1"/>
  <c r="D736" i="1"/>
  <c r="C736" i="1"/>
  <c r="B736" i="1"/>
  <c r="F735" i="1"/>
  <c r="D735" i="1"/>
  <c r="C735" i="1"/>
  <c r="B735" i="1"/>
  <c r="F734" i="1"/>
  <c r="D734" i="1"/>
  <c r="C734" i="1"/>
  <c r="B734" i="1"/>
  <c r="F733" i="1"/>
  <c r="C733" i="1"/>
  <c r="B733" i="1"/>
  <c r="B732" i="1"/>
  <c r="F727" i="1"/>
  <c r="C727" i="1"/>
  <c r="B727" i="1"/>
  <c r="F726" i="1"/>
  <c r="C726" i="1"/>
  <c r="B726" i="1"/>
  <c r="F725" i="1"/>
  <c r="C725" i="1"/>
  <c r="B725" i="1"/>
  <c r="F724" i="1"/>
  <c r="C724" i="1"/>
  <c r="B724" i="1"/>
  <c r="F723" i="1"/>
  <c r="C723" i="1"/>
  <c r="B723" i="1"/>
  <c r="F722" i="1"/>
  <c r="C722" i="1"/>
  <c r="B722" i="1"/>
  <c r="F721" i="1"/>
  <c r="C721" i="1"/>
  <c r="B721" i="1"/>
  <c r="F720" i="1"/>
  <c r="C720" i="1"/>
  <c r="B720" i="1"/>
  <c r="F719" i="1"/>
  <c r="C719" i="1"/>
  <c r="B719" i="1"/>
  <c r="F718" i="1"/>
  <c r="C718" i="1"/>
  <c r="B718" i="1"/>
  <c r="F717" i="1"/>
  <c r="C717" i="1"/>
  <c r="B717" i="1"/>
  <c r="B716" i="1"/>
  <c r="F711" i="1"/>
  <c r="D711" i="1"/>
  <c r="C711" i="1"/>
  <c r="B711" i="1"/>
  <c r="F710" i="1"/>
  <c r="C710" i="1"/>
  <c r="B710" i="1"/>
  <c r="F709" i="1"/>
  <c r="C709" i="1"/>
  <c r="B709" i="1"/>
  <c r="F708" i="1"/>
  <c r="C708" i="1"/>
  <c r="B708" i="1"/>
  <c r="F707" i="1"/>
  <c r="C707" i="1"/>
  <c r="B707" i="1"/>
  <c r="F706" i="1"/>
  <c r="C706" i="1"/>
  <c r="B706" i="1"/>
  <c r="F705" i="1"/>
  <c r="C705" i="1"/>
  <c r="B705" i="1"/>
  <c r="F704" i="1"/>
  <c r="C704" i="1"/>
  <c r="B704" i="1"/>
  <c r="F703" i="1"/>
  <c r="C703" i="1"/>
  <c r="B703" i="1"/>
  <c r="F702" i="1"/>
  <c r="C702" i="1"/>
  <c r="B702" i="1"/>
  <c r="F701" i="1"/>
  <c r="C701" i="1"/>
  <c r="B701" i="1"/>
  <c r="F700" i="1"/>
  <c r="C700" i="1"/>
  <c r="B700" i="1"/>
  <c r="F699" i="1"/>
  <c r="C699" i="1"/>
  <c r="B699" i="1"/>
  <c r="F698" i="1"/>
  <c r="C698" i="1"/>
  <c r="B698" i="1"/>
  <c r="F697" i="1"/>
  <c r="C697" i="1"/>
  <c r="B697" i="1"/>
  <c r="F690" i="1"/>
  <c r="D690" i="1"/>
  <c r="C690" i="1"/>
  <c r="B690" i="1"/>
  <c r="F689" i="1"/>
  <c r="D689" i="1"/>
  <c r="C689" i="1"/>
  <c r="F688" i="1"/>
  <c r="D688" i="1"/>
  <c r="C688" i="1"/>
  <c r="B688" i="1"/>
  <c r="F687" i="1"/>
  <c r="D687" i="1"/>
  <c r="C687" i="1"/>
  <c r="B687" i="1"/>
  <c r="F681" i="1"/>
  <c r="D681" i="1"/>
  <c r="C681" i="1"/>
  <c r="B681" i="1"/>
  <c r="F680" i="1"/>
  <c r="D680" i="1"/>
  <c r="C680" i="1"/>
  <c r="B680" i="1"/>
  <c r="F679" i="1"/>
  <c r="D679" i="1"/>
  <c r="C679" i="1"/>
  <c r="B679" i="1"/>
  <c r="F678" i="1"/>
  <c r="D678" i="1"/>
  <c r="C678" i="1"/>
  <c r="B678" i="1"/>
  <c r="F677" i="1"/>
  <c r="D677" i="1"/>
  <c r="C677" i="1"/>
  <c r="B677" i="1"/>
  <c r="F676" i="1"/>
  <c r="D676" i="1"/>
  <c r="C676" i="1"/>
  <c r="B676" i="1"/>
  <c r="F675" i="1"/>
  <c r="D675" i="1"/>
  <c r="C675" i="1"/>
  <c r="B675" i="1"/>
  <c r="F674" i="1"/>
  <c r="D674" i="1"/>
  <c r="C674" i="1"/>
  <c r="B674" i="1"/>
  <c r="F673" i="1"/>
  <c r="D673" i="1"/>
  <c r="C673" i="1"/>
  <c r="F672" i="1"/>
  <c r="D672" i="1"/>
  <c r="C672" i="1"/>
  <c r="B672" i="1"/>
  <c r="F671" i="1"/>
  <c r="D671" i="1"/>
  <c r="C671" i="1"/>
  <c r="B671" i="1"/>
  <c r="F670" i="1"/>
  <c r="D670" i="1"/>
  <c r="C670" i="1"/>
  <c r="B670" i="1"/>
  <c r="F669" i="1"/>
  <c r="D669" i="1"/>
  <c r="C669" i="1"/>
  <c r="B669" i="1"/>
  <c r="F663" i="1"/>
  <c r="D663" i="1"/>
  <c r="C663" i="1"/>
  <c r="C1546" i="1" s="1"/>
  <c r="G1546" i="1" s="1"/>
  <c r="F662" i="1"/>
  <c r="D662" i="1"/>
  <c r="C662" i="1"/>
  <c r="C1545" i="1" s="1"/>
  <c r="B662" i="1"/>
  <c r="F661" i="1"/>
  <c r="D661" i="1"/>
  <c r="C661" i="1"/>
  <c r="B661" i="1"/>
  <c r="F660" i="1"/>
  <c r="D660" i="1"/>
  <c r="C660" i="1"/>
  <c r="B660" i="1"/>
  <c r="F659" i="1"/>
  <c r="D659" i="1"/>
  <c r="C659" i="1"/>
  <c r="B659" i="1"/>
  <c r="F658" i="1"/>
  <c r="D658" i="1"/>
  <c r="C658" i="1"/>
  <c r="B658" i="1"/>
  <c r="F657" i="1"/>
  <c r="D657" i="1"/>
  <c r="C657" i="1"/>
  <c r="B657" i="1"/>
  <c r="F656" i="1"/>
  <c r="D656" i="1"/>
  <c r="C656" i="1"/>
  <c r="B656" i="1"/>
  <c r="F655" i="1"/>
  <c r="D655" i="1"/>
  <c r="C655" i="1"/>
  <c r="B655" i="1"/>
  <c r="F654" i="1"/>
  <c r="D654" i="1"/>
  <c r="C654" i="1"/>
  <c r="B654" i="1"/>
  <c r="F653" i="1"/>
  <c r="D653" i="1"/>
  <c r="C653" i="1"/>
  <c r="F652" i="1"/>
  <c r="D652" i="1"/>
  <c r="C652" i="1"/>
  <c r="B652" i="1"/>
  <c r="F651" i="1"/>
  <c r="D651" i="1"/>
  <c r="C651" i="1"/>
  <c r="B651" i="1"/>
  <c r="F650" i="1"/>
  <c r="D650" i="1"/>
  <c r="C650" i="1"/>
  <c r="B650" i="1"/>
  <c r="F649" i="1"/>
  <c r="D649" i="1"/>
  <c r="C649" i="1"/>
  <c r="B649" i="1"/>
  <c r="F648" i="1"/>
  <c r="D648" i="1"/>
  <c r="C648" i="1"/>
  <c r="B648" i="1"/>
  <c r="F647" i="1"/>
  <c r="D647" i="1"/>
  <c r="C647" i="1"/>
  <c r="F646" i="1"/>
  <c r="D646" i="1"/>
  <c r="C646" i="1"/>
  <c r="B646" i="1"/>
  <c r="F645" i="1"/>
  <c r="D645" i="1"/>
  <c r="C645" i="1"/>
  <c r="F644" i="1"/>
  <c r="D644" i="1"/>
  <c r="C644" i="1"/>
  <c r="B644" i="1"/>
  <c r="F643" i="1"/>
  <c r="D643" i="1"/>
  <c r="C643" i="1"/>
  <c r="B643" i="1"/>
  <c r="F642" i="1"/>
  <c r="D642" i="1"/>
  <c r="C642" i="1"/>
  <c r="B642" i="1"/>
  <c r="F641" i="1"/>
  <c r="D641" i="1"/>
  <c r="C641" i="1"/>
  <c r="B641" i="1"/>
  <c r="B640" i="1"/>
  <c r="B1547" i="1" s="1"/>
  <c r="B639" i="1"/>
  <c r="F634" i="1"/>
  <c r="D634" i="1"/>
  <c r="C634" i="1"/>
  <c r="C1509" i="1" s="1"/>
  <c r="B634" i="1"/>
  <c r="F633" i="1"/>
  <c r="D633" i="1"/>
  <c r="C633" i="1"/>
  <c r="C1508" i="1" s="1"/>
  <c r="B633" i="1"/>
  <c r="F632" i="1"/>
  <c r="D632" i="1"/>
  <c r="C632" i="1"/>
  <c r="C1507" i="1" s="1"/>
  <c r="B632" i="1"/>
  <c r="F631" i="1"/>
  <c r="D631" i="1"/>
  <c r="C631" i="1"/>
  <c r="C1506" i="1" s="1"/>
  <c r="G1506" i="1" s="1"/>
  <c r="B631" i="1"/>
  <c r="F630" i="1"/>
  <c r="D630" i="1"/>
  <c r="C630" i="1"/>
  <c r="C1505" i="1" s="1"/>
  <c r="G1505" i="1" s="1"/>
  <c r="B630" i="1"/>
  <c r="F629" i="1"/>
  <c r="D629" i="1"/>
  <c r="C629" i="1"/>
  <c r="C1504" i="1" s="1"/>
  <c r="B629" i="1"/>
  <c r="F628" i="1"/>
  <c r="D628" i="1"/>
  <c r="C628" i="1"/>
  <c r="C1503" i="1" s="1"/>
  <c r="B628" i="1"/>
  <c r="F627" i="1"/>
  <c r="D627" i="1"/>
  <c r="C627" i="1"/>
  <c r="C1502" i="1" s="1"/>
  <c r="B627" i="1"/>
  <c r="F626" i="1"/>
  <c r="D626" i="1"/>
  <c r="C626" i="1"/>
  <c r="C1501" i="1" s="1"/>
  <c r="B626" i="1"/>
  <c r="F625" i="1"/>
  <c r="D625" i="1"/>
  <c r="C625" i="1"/>
  <c r="C1500" i="1" s="1"/>
  <c r="B625" i="1"/>
  <c r="F624" i="1"/>
  <c r="D624" i="1"/>
  <c r="C624" i="1"/>
  <c r="C1499" i="1" s="1"/>
  <c r="B624" i="1"/>
  <c r="F623" i="1"/>
  <c r="D623" i="1"/>
  <c r="C623" i="1"/>
  <c r="C1498" i="1" s="1"/>
  <c r="G1498" i="1" s="1"/>
  <c r="B623" i="1"/>
  <c r="F622" i="1"/>
  <c r="D622" i="1"/>
  <c r="C622" i="1"/>
  <c r="C1497" i="1" s="1"/>
  <c r="G1497" i="1" s="1"/>
  <c r="B622" i="1"/>
  <c r="F621" i="1"/>
  <c r="D621" i="1"/>
  <c r="C621" i="1"/>
  <c r="C1496" i="1" s="1"/>
  <c r="B621" i="1"/>
  <c r="F620" i="1"/>
  <c r="D620" i="1"/>
  <c r="C620" i="1"/>
  <c r="C1495" i="1" s="1"/>
  <c r="F619" i="1"/>
  <c r="D619" i="1"/>
  <c r="C619" i="1"/>
  <c r="C1494" i="1" s="1"/>
  <c r="B619" i="1"/>
  <c r="F618" i="1"/>
  <c r="D618" i="1"/>
  <c r="C618" i="1"/>
  <c r="C1493" i="1" s="1"/>
  <c r="G1493" i="1" s="1"/>
  <c r="F617" i="1"/>
  <c r="D617" i="1"/>
  <c r="C617" i="1"/>
  <c r="C1492" i="1" s="1"/>
  <c r="B617" i="1"/>
  <c r="F616" i="1"/>
  <c r="D616" i="1"/>
  <c r="C616" i="1"/>
  <c r="C1491" i="1" s="1"/>
  <c r="B616" i="1"/>
  <c r="F615" i="1"/>
  <c r="D615" i="1"/>
  <c r="C615" i="1"/>
  <c r="C1490" i="1" s="1"/>
  <c r="B615" i="1"/>
  <c r="F614" i="1"/>
  <c r="D614" i="1"/>
  <c r="C614" i="1"/>
  <c r="C1489" i="1" s="1"/>
  <c r="B614" i="1"/>
  <c r="B613" i="1"/>
  <c r="F612" i="1"/>
  <c r="D612" i="1"/>
  <c r="C612" i="1"/>
  <c r="F611" i="1"/>
  <c r="D611" i="1"/>
  <c r="C611" i="1"/>
  <c r="F610" i="1"/>
  <c r="D610" i="1"/>
  <c r="C610" i="1"/>
  <c r="F609" i="1"/>
  <c r="D609" i="1"/>
  <c r="C609" i="1"/>
  <c r="F608" i="1"/>
  <c r="D608" i="1"/>
  <c r="C608" i="1"/>
  <c r="B607" i="1"/>
  <c r="F600" i="1"/>
  <c r="F599" i="1"/>
  <c r="F598" i="1"/>
  <c r="F597" i="1"/>
  <c r="F596" i="1"/>
  <c r="F595" i="1"/>
  <c r="F594" i="1"/>
  <c r="F593" i="1"/>
  <c r="F592" i="1"/>
  <c r="F591" i="1"/>
  <c r="F590" i="1"/>
  <c r="F589" i="1"/>
  <c r="F588" i="1"/>
  <c r="F587" i="1"/>
  <c r="F586" i="1"/>
  <c r="F585" i="1"/>
  <c r="F584" i="1"/>
  <c r="F583" i="1"/>
  <c r="F582" i="1"/>
  <c r="A252" i="4" l="1"/>
  <c r="A257" i="4" s="1"/>
  <c r="A262" i="4" s="1"/>
  <c r="A264" i="4" s="1"/>
  <c r="A269" i="4" s="1"/>
  <c r="A271" i="4" s="1"/>
  <c r="A284" i="4" s="1"/>
  <c r="A289" i="4" s="1"/>
  <c r="A294" i="4" s="1"/>
  <c r="A299" i="4" s="1"/>
  <c r="A310" i="4" s="1"/>
  <c r="A316" i="4" s="1"/>
  <c r="A321" i="4" s="1"/>
  <c r="A324" i="4" s="1"/>
  <c r="A329" i="4" s="1"/>
  <c r="A334" i="4" s="1"/>
  <c r="A339" i="4" s="1"/>
  <c r="A344" i="4" s="1"/>
  <c r="A349" i="4" s="1"/>
  <c r="A353" i="4" s="1"/>
  <c r="A357" i="4" s="1"/>
  <c r="A364" i="4" s="1"/>
  <c r="A366" i="4" s="1"/>
  <c r="A372" i="4" s="1"/>
  <c r="A378" i="4" s="1"/>
  <c r="A380" i="4" s="1"/>
  <c r="G1805" i="1"/>
  <c r="G1072" i="1"/>
  <c r="G1073" i="1" s="1"/>
  <c r="G771" i="1"/>
  <c r="G859" i="1"/>
  <c r="G1164" i="1"/>
  <c r="G1165" i="1" s="1"/>
  <c r="G873" i="1"/>
  <c r="G882" i="1"/>
  <c r="G891" i="1"/>
  <c r="G2380" i="1"/>
  <c r="G2383" i="1" s="1"/>
  <c r="G850" i="1"/>
  <c r="G775" i="1"/>
  <c r="G610" i="1"/>
  <c r="G654" i="1"/>
  <c r="G611" i="1"/>
  <c r="G711" i="1"/>
  <c r="G818" i="1"/>
  <c r="G759" i="1"/>
  <c r="G760" i="1" s="1"/>
  <c r="G819" i="1"/>
  <c r="G853" i="1"/>
  <c r="G1172" i="1"/>
  <c r="G738" i="1"/>
  <c r="G766" i="1"/>
  <c r="G649" i="1"/>
  <c r="G608" i="1"/>
  <c r="G612" i="1"/>
  <c r="G860" i="1"/>
  <c r="G672" i="1"/>
  <c r="G689" i="1"/>
  <c r="G658" i="1"/>
  <c r="G821" i="1"/>
  <c r="G872" i="1"/>
  <c r="G881" i="1"/>
  <c r="G890" i="1"/>
  <c r="G679" i="1"/>
  <c r="G687" i="1"/>
  <c r="G690" i="1"/>
  <c r="G788" i="1"/>
  <c r="G816" i="1"/>
  <c r="G1311" i="1"/>
  <c r="G681" i="1"/>
  <c r="G820" i="1"/>
  <c r="G645" i="1"/>
  <c r="G871" i="1"/>
  <c r="G670" i="1"/>
  <c r="G656" i="1"/>
  <c r="G773" i="1"/>
  <c r="G647" i="1"/>
  <c r="G734" i="1"/>
  <c r="G737" i="1"/>
  <c r="G677" i="1"/>
  <c r="G641" i="1"/>
  <c r="G625" i="1"/>
  <c r="G628" i="1"/>
  <c r="G643" i="1"/>
  <c r="G655" i="1"/>
  <c r="G619" i="1"/>
  <c r="G653" i="1"/>
  <c r="G673" i="1"/>
  <c r="G774" i="1"/>
  <c r="G787" i="1"/>
  <c r="G796" i="1"/>
  <c r="G804" i="1"/>
  <c r="G1494" i="1"/>
  <c r="G874" i="1"/>
  <c r="D815" i="1"/>
  <c r="G795" i="1"/>
  <c r="G632" i="1"/>
  <c r="G772" i="1"/>
  <c r="G789" i="1"/>
  <c r="G817" i="1"/>
  <c r="G752" i="1"/>
  <c r="G753" i="1" s="1"/>
  <c r="G663" i="1"/>
  <c r="G869" i="1"/>
  <c r="D813" i="1"/>
  <c r="G675" i="1"/>
  <c r="G678" i="1"/>
  <c r="G688" i="1"/>
  <c r="G803" i="1"/>
  <c r="G870" i="1"/>
  <c r="G646" i="1"/>
  <c r="G652" i="1"/>
  <c r="G671" i="1"/>
  <c r="D814" i="1"/>
  <c r="C814" i="1" s="1"/>
  <c r="G889" i="1"/>
  <c r="G614" i="1"/>
  <c r="G620" i="1"/>
  <c r="G661" i="1"/>
  <c r="G669" i="1"/>
  <c r="G680" i="1"/>
  <c r="C815" i="1"/>
  <c r="G1501" i="1"/>
  <c r="G735" i="1"/>
  <c r="G621" i="1"/>
  <c r="G629" i="1"/>
  <c r="G615" i="1"/>
  <c r="G624" i="1"/>
  <c r="G650" i="1"/>
  <c r="C843" i="1"/>
  <c r="G843" i="1" s="1"/>
  <c r="G644" i="1"/>
  <c r="G648" i="1"/>
  <c r="G659" i="1"/>
  <c r="G609" i="1"/>
  <c r="G633" i="1"/>
  <c r="G642" i="1"/>
  <c r="G651" i="1"/>
  <c r="G657" i="1"/>
  <c r="G676" i="1"/>
  <c r="G736" i="1"/>
  <c r="C813" i="1"/>
  <c r="G660" i="1"/>
  <c r="G674" i="1"/>
  <c r="G888" i="1"/>
  <c r="G617" i="1"/>
  <c r="G618" i="1"/>
  <c r="G623" i="1"/>
  <c r="G627" i="1"/>
  <c r="G631" i="1"/>
  <c r="G802" i="1"/>
  <c r="G1491" i="1"/>
  <c r="G1492" i="1"/>
  <c r="G662" i="1"/>
  <c r="F364" i="4"/>
  <c r="C1327" i="1"/>
  <c r="G1297" i="1"/>
  <c r="G1502" i="1"/>
  <c r="B1545" i="1"/>
  <c r="G1545" i="1"/>
  <c r="G1569" i="1" s="1"/>
  <c r="G1570" i="1" s="1"/>
  <c r="G1489" i="1"/>
  <c r="G1490" i="1"/>
  <c r="G616" i="1"/>
  <c r="G1495" i="1"/>
  <c r="G1496" i="1"/>
  <c r="G622" i="1"/>
  <c r="G1499" i="1"/>
  <c r="G1500" i="1"/>
  <c r="G626" i="1"/>
  <c r="G1503" i="1"/>
  <c r="G1504" i="1"/>
  <c r="G630" i="1"/>
  <c r="G1507" i="1"/>
  <c r="G1508" i="1"/>
  <c r="G634" i="1"/>
  <c r="G867" i="1"/>
  <c r="G880" i="1"/>
  <c r="F576" i="1"/>
  <c r="D576" i="1"/>
  <c r="C576" i="1"/>
  <c r="B576" i="1"/>
  <c r="G862" i="1" l="1"/>
  <c r="A388" i="4"/>
  <c r="A393" i="4" s="1"/>
  <c r="A398" i="4" s="1"/>
  <c r="A403" i="4" s="1"/>
  <c r="A408" i="4" s="1"/>
  <c r="A410" i="4" s="1"/>
  <c r="A412" i="4" s="1"/>
  <c r="A417" i="4" s="1"/>
  <c r="A382" i="4"/>
  <c r="A384" i="4" s="1"/>
  <c r="G813" i="1"/>
  <c r="G576" i="1"/>
  <c r="G783" i="1"/>
  <c r="G784" i="1" s="1"/>
  <c r="G791" i="1"/>
  <c r="G792" i="1" s="1"/>
  <c r="G884" i="1"/>
  <c r="G885" i="1" s="1"/>
  <c r="D1861" i="1" s="1"/>
  <c r="G814" i="1"/>
  <c r="G893" i="1"/>
  <c r="G894" i="1" s="1"/>
  <c r="D2414" i="1" s="1"/>
  <c r="G798" i="1"/>
  <c r="G799" i="1" s="1"/>
  <c r="G683" i="1"/>
  <c r="G684" i="1" s="1"/>
  <c r="G815" i="1"/>
  <c r="G665" i="1"/>
  <c r="G666" i="1" s="1"/>
  <c r="G636" i="1"/>
  <c r="G637" i="1" s="1"/>
  <c r="F396" i="4"/>
  <c r="D575" i="1"/>
  <c r="C575" i="1"/>
  <c r="B575" i="1"/>
  <c r="F574" i="1"/>
  <c r="D574" i="1"/>
  <c r="C574" i="1"/>
  <c r="B574" i="1"/>
  <c r="D569" i="1"/>
  <c r="C569" i="1"/>
  <c r="F563" i="1"/>
  <c r="D563" i="1"/>
  <c r="C563" i="1"/>
  <c r="F562" i="1"/>
  <c r="D562" i="1"/>
  <c r="C562" i="1"/>
  <c r="F561" i="1"/>
  <c r="D561" i="1"/>
  <c r="C561" i="1"/>
  <c r="F555" i="1"/>
  <c r="D555" i="1"/>
  <c r="C555" i="1"/>
  <c r="F554" i="1"/>
  <c r="D554" i="1"/>
  <c r="C554" i="1"/>
  <c r="F553" i="1"/>
  <c r="D553" i="1"/>
  <c r="C553" i="1"/>
  <c r="F552" i="1"/>
  <c r="D552" i="1"/>
  <c r="C552" i="1"/>
  <c r="F551" i="1"/>
  <c r="D551" i="1"/>
  <c r="C551" i="1"/>
  <c r="F550" i="1"/>
  <c r="D550" i="1"/>
  <c r="C550" i="1"/>
  <c r="B550" i="1"/>
  <c r="D549" i="1"/>
  <c r="C549" i="1"/>
  <c r="D548" i="1"/>
  <c r="C548" i="1"/>
  <c r="D547" i="1"/>
  <c r="C547" i="1"/>
  <c r="D546" i="1"/>
  <c r="C546" i="1"/>
  <c r="B546" i="1"/>
  <c r="F545" i="1"/>
  <c r="D545" i="1"/>
  <c r="C545" i="1"/>
  <c r="F544" i="1"/>
  <c r="D544" i="1"/>
  <c r="C544" i="1"/>
  <c r="F543" i="1"/>
  <c r="D543" i="1"/>
  <c r="C543" i="1"/>
  <c r="B543" i="1"/>
  <c r="F536" i="1"/>
  <c r="F535" i="1"/>
  <c r="F534" i="1"/>
  <c r="F533" i="1"/>
  <c r="F532" i="1"/>
  <c r="F531" i="1"/>
  <c r="F530" i="1"/>
  <c r="F529" i="1"/>
  <c r="F528" i="1"/>
  <c r="F527" i="1"/>
  <c r="F526" i="1"/>
  <c r="F525" i="1"/>
  <c r="F524" i="1"/>
  <c r="F523" i="1"/>
  <c r="F522" i="1"/>
  <c r="F521" i="1"/>
  <c r="F520" i="1"/>
  <c r="F519" i="1"/>
  <c r="F518" i="1"/>
  <c r="F517" i="1"/>
  <c r="D517" i="1"/>
  <c r="C517" i="1"/>
  <c r="F516" i="1"/>
  <c r="D516" i="1"/>
  <c r="C516" i="1"/>
  <c r="F515" i="1"/>
  <c r="D515" i="1"/>
  <c r="C515" i="1"/>
  <c r="F514" i="1"/>
  <c r="D514" i="1"/>
  <c r="C514" i="1"/>
  <c r="F513" i="1"/>
  <c r="D513" i="1"/>
  <c r="C513" i="1"/>
  <c r="F512" i="1"/>
  <c r="D512" i="1"/>
  <c r="C512" i="1"/>
  <c r="F511" i="1"/>
  <c r="D511" i="1"/>
  <c r="C511" i="1"/>
  <c r="F510" i="1"/>
  <c r="D510" i="1"/>
  <c r="C510" i="1"/>
  <c r="G503" i="1"/>
  <c r="G502" i="1"/>
  <c r="G496" i="1"/>
  <c r="G495" i="1"/>
  <c r="G491" i="1"/>
  <c r="G484" i="1"/>
  <c r="G483" i="1"/>
  <c r="G482" i="1"/>
  <c r="G481" i="1"/>
  <c r="G475" i="1"/>
  <c r="G474" i="1"/>
  <c r="G473" i="1"/>
  <c r="G467" i="1"/>
  <c r="G466" i="1"/>
  <c r="G465" i="1"/>
  <c r="G464" i="1"/>
  <c r="G463" i="1"/>
  <c r="G462" i="1"/>
  <c r="D461" i="1"/>
  <c r="D868" i="1" s="1"/>
  <c r="G868" i="1" s="1"/>
  <c r="G876" i="1" s="1"/>
  <c r="G877" i="1" s="1"/>
  <c r="G460" i="1"/>
  <c r="G453" i="1"/>
  <c r="G452" i="1"/>
  <c r="G446" i="1"/>
  <c r="D445" i="1"/>
  <c r="D852" i="1" s="1"/>
  <c r="G852" i="1" s="1"/>
  <c r="D444" i="1"/>
  <c r="D851" i="1" s="1"/>
  <c r="G851" i="1" s="1"/>
  <c r="G443" i="1"/>
  <c r="G437" i="1"/>
  <c r="G436" i="1"/>
  <c r="G435" i="1"/>
  <c r="G429" i="1"/>
  <c r="G428" i="1"/>
  <c r="G422" i="1"/>
  <c r="G421" i="1"/>
  <c r="G420" i="1"/>
  <c r="G414" i="1"/>
  <c r="G413" i="1"/>
  <c r="G412" i="1"/>
  <c r="G411" i="1"/>
  <c r="G410" i="1"/>
  <c r="G409" i="1"/>
  <c r="G408" i="1"/>
  <c r="G407" i="1"/>
  <c r="I406" i="1"/>
  <c r="G406" i="1"/>
  <c r="G405" i="1"/>
  <c r="G404" i="1"/>
  <c r="G403" i="1"/>
  <c r="G396" i="1"/>
  <c r="G395" i="1"/>
  <c r="C394" i="1"/>
  <c r="G388" i="1"/>
  <c r="G387" i="1"/>
  <c r="C386" i="1"/>
  <c r="G380" i="1"/>
  <c r="G379" i="1"/>
  <c r="G378" i="1"/>
  <c r="G377" i="1"/>
  <c r="G376" i="1"/>
  <c r="G375" i="1"/>
  <c r="G374" i="1"/>
  <c r="C373" i="1"/>
  <c r="G372" i="1"/>
  <c r="G371" i="1"/>
  <c r="C370" i="1"/>
  <c r="G363" i="1"/>
  <c r="G362" i="1"/>
  <c r="G361" i="1"/>
  <c r="G360" i="1"/>
  <c r="G359" i="1"/>
  <c r="D358" i="1"/>
  <c r="G358" i="1" s="1"/>
  <c r="D352" i="1"/>
  <c r="D727" i="1" s="1"/>
  <c r="G727" i="1" s="1"/>
  <c r="D351" i="1"/>
  <c r="G351" i="1" s="1"/>
  <c r="D350" i="1"/>
  <c r="D725" i="1" s="1"/>
  <c r="G725" i="1" s="1"/>
  <c r="D349" i="1"/>
  <c r="D724" i="1" s="1"/>
  <c r="G724" i="1" s="1"/>
  <c r="D348" i="1"/>
  <c r="D723" i="1" s="1"/>
  <c r="G723" i="1" s="1"/>
  <c r="D347" i="1"/>
  <c r="D722" i="1" s="1"/>
  <c r="G722" i="1" s="1"/>
  <c r="D346" i="1"/>
  <c r="D721" i="1" s="1"/>
  <c r="G721" i="1" s="1"/>
  <c r="D345" i="1"/>
  <c r="D720" i="1" s="1"/>
  <c r="G720" i="1" s="1"/>
  <c r="D344" i="1"/>
  <c r="D719" i="1" s="1"/>
  <c r="G719" i="1" s="1"/>
  <c r="D343" i="1"/>
  <c r="D718" i="1" s="1"/>
  <c r="G718" i="1" s="1"/>
  <c r="D342" i="1"/>
  <c r="G336" i="1"/>
  <c r="D335" i="1"/>
  <c r="D710" i="1" s="1"/>
  <c r="G710" i="1" s="1"/>
  <c r="D334" i="1"/>
  <c r="D709" i="1" s="1"/>
  <c r="G709" i="1" s="1"/>
  <c r="D333" i="1"/>
  <c r="D332" i="1"/>
  <c r="D707" i="1" s="1"/>
  <c r="G707" i="1" s="1"/>
  <c r="D331" i="1"/>
  <c r="D706" i="1" s="1"/>
  <c r="G706" i="1" s="1"/>
  <c r="D330" i="1"/>
  <c r="D705" i="1" s="1"/>
  <c r="G705" i="1" s="1"/>
  <c r="D329" i="1"/>
  <c r="G329" i="1" s="1"/>
  <c r="D328" i="1"/>
  <c r="D703" i="1" s="1"/>
  <c r="G703" i="1" s="1"/>
  <c r="D327" i="1"/>
  <c r="D702" i="1" s="1"/>
  <c r="G702" i="1" s="1"/>
  <c r="D326" i="1"/>
  <c r="D701" i="1" s="1"/>
  <c r="G701" i="1" s="1"/>
  <c r="D325" i="1"/>
  <c r="G325" i="1" s="1"/>
  <c r="D324" i="1"/>
  <c r="D699" i="1" s="1"/>
  <c r="G699" i="1" s="1"/>
  <c r="D323" i="1"/>
  <c r="D698" i="1" s="1"/>
  <c r="G698" i="1" s="1"/>
  <c r="D322" i="1"/>
  <c r="G322" i="1" s="1"/>
  <c r="G315" i="1"/>
  <c r="G314" i="1"/>
  <c r="G313" i="1"/>
  <c r="G312" i="1"/>
  <c r="G306" i="1"/>
  <c r="G305" i="1"/>
  <c r="G304" i="1"/>
  <c r="G303" i="1"/>
  <c r="G302" i="1"/>
  <c r="G301" i="1"/>
  <c r="G300" i="1"/>
  <c r="G299" i="1"/>
  <c r="G298" i="1"/>
  <c r="G297" i="1"/>
  <c r="G296" i="1"/>
  <c r="G295" i="1"/>
  <c r="G294" i="1"/>
  <c r="G288" i="1"/>
  <c r="G287" i="1"/>
  <c r="G286" i="1"/>
  <c r="G285" i="1"/>
  <c r="G284" i="1"/>
  <c r="G283" i="1"/>
  <c r="G282" i="1"/>
  <c r="G281" i="1"/>
  <c r="G280" i="1"/>
  <c r="G279" i="1"/>
  <c r="G278" i="1"/>
  <c r="G277" i="1"/>
  <c r="G276" i="1"/>
  <c r="G275" i="1"/>
  <c r="G274" i="1"/>
  <c r="G273" i="1"/>
  <c r="G272" i="1"/>
  <c r="G271" i="1"/>
  <c r="G270" i="1"/>
  <c r="G269" i="1"/>
  <c r="G268" i="1"/>
  <c r="G267" i="1"/>
  <c r="G266" i="1"/>
  <c r="G259" i="1"/>
  <c r="G258" i="1"/>
  <c r="G257" i="1"/>
  <c r="G256" i="1"/>
  <c r="G255" i="1"/>
  <c r="G254" i="1"/>
  <c r="G253" i="1"/>
  <c r="G252" i="1"/>
  <c r="G251" i="1"/>
  <c r="G250" i="1"/>
  <c r="G249" i="1"/>
  <c r="G248" i="1"/>
  <c r="G247" i="1"/>
  <c r="G246" i="1"/>
  <c r="G245" i="1"/>
  <c r="G244" i="1"/>
  <c r="G243" i="1"/>
  <c r="G242" i="1"/>
  <c r="G241" i="1"/>
  <c r="G240" i="1"/>
  <c r="G239" i="1"/>
  <c r="G237" i="1"/>
  <c r="G236" i="1"/>
  <c r="G235" i="1"/>
  <c r="G234" i="1"/>
  <c r="G233" i="1"/>
  <c r="D225" i="1"/>
  <c r="D600" i="1" s="1"/>
  <c r="C225" i="1"/>
  <c r="B225" i="1"/>
  <c r="D224" i="1"/>
  <c r="D599" i="1" s="1"/>
  <c r="C224" i="1"/>
  <c r="B224" i="1"/>
  <c r="D223" i="1"/>
  <c r="D598" i="1" s="1"/>
  <c r="C223" i="1"/>
  <c r="C598" i="1" s="1"/>
  <c r="B223" i="1"/>
  <c r="D222" i="1"/>
  <c r="D597" i="1" s="1"/>
  <c r="C222" i="1"/>
  <c r="B222" i="1"/>
  <c r="D221" i="1"/>
  <c r="D596" i="1" s="1"/>
  <c r="C221" i="1"/>
  <c r="B221" i="1"/>
  <c r="D220" i="1"/>
  <c r="D595" i="1" s="1"/>
  <c r="C220" i="1"/>
  <c r="B220" i="1"/>
  <c r="D219" i="1"/>
  <c r="D594" i="1" s="1"/>
  <c r="C219" i="1"/>
  <c r="C594" i="1" s="1"/>
  <c r="B219" i="1"/>
  <c r="D218" i="1"/>
  <c r="D593" i="1" s="1"/>
  <c r="C218" i="1"/>
  <c r="B218" i="1"/>
  <c r="D217" i="1"/>
  <c r="D592" i="1" s="1"/>
  <c r="C217" i="1"/>
  <c r="B217" i="1"/>
  <c r="D216" i="1"/>
  <c r="D591" i="1" s="1"/>
  <c r="C216" i="1"/>
  <c r="B216" i="1"/>
  <c r="D215" i="1"/>
  <c r="D590" i="1" s="1"/>
  <c r="C215" i="1"/>
  <c r="C590" i="1" s="1"/>
  <c r="B215" i="1"/>
  <c r="D214" i="1"/>
  <c r="D589" i="1" s="1"/>
  <c r="C214" i="1"/>
  <c r="B214" i="1"/>
  <c r="D213" i="1"/>
  <c r="D588" i="1" s="1"/>
  <c r="C213" i="1"/>
  <c r="B213" i="1"/>
  <c r="D212" i="1"/>
  <c r="D587" i="1" s="1"/>
  <c r="C212" i="1"/>
  <c r="B212" i="1"/>
  <c r="D211" i="1"/>
  <c r="D586" i="1" s="1"/>
  <c r="C211" i="1"/>
  <c r="B211" i="1"/>
  <c r="D210" i="1"/>
  <c r="D585" i="1" s="1"/>
  <c r="C210" i="1"/>
  <c r="C585" i="1" s="1"/>
  <c r="B210" i="1"/>
  <c r="D209" i="1"/>
  <c r="D584" i="1" s="1"/>
  <c r="C209" i="1"/>
  <c r="C584" i="1" s="1"/>
  <c r="B209" i="1"/>
  <c r="D208" i="1"/>
  <c r="D583" i="1" s="1"/>
  <c r="C208" i="1"/>
  <c r="B208" i="1"/>
  <c r="D207" i="1"/>
  <c r="D582" i="1" s="1"/>
  <c r="C207" i="1"/>
  <c r="B207" i="1"/>
  <c r="G201" i="1"/>
  <c r="F200" i="1"/>
  <c r="F575" i="1" s="1"/>
  <c r="G199" i="1"/>
  <c r="F195" i="1"/>
  <c r="G189" i="1"/>
  <c r="G188" i="1"/>
  <c r="G187" i="1"/>
  <c r="G181" i="1"/>
  <c r="G180" i="1"/>
  <c r="G179" i="1"/>
  <c r="G178" i="1"/>
  <c r="G177" i="1"/>
  <c r="G176" i="1"/>
  <c r="F175" i="1"/>
  <c r="G175" i="1" s="1"/>
  <c r="F174" i="1"/>
  <c r="G174" i="1" s="1"/>
  <c r="F173" i="1"/>
  <c r="F172" i="1"/>
  <c r="F546" i="1" s="1"/>
  <c r="G171" i="1"/>
  <c r="G170" i="1"/>
  <c r="G169" i="1"/>
  <c r="D160" i="1"/>
  <c r="C160" i="1"/>
  <c r="B160" i="1"/>
  <c r="D159" i="1"/>
  <c r="C159" i="1"/>
  <c r="B159" i="1"/>
  <c r="D158" i="1"/>
  <c r="C158" i="1"/>
  <c r="B158" i="1"/>
  <c r="D157" i="1"/>
  <c r="C157" i="1"/>
  <c r="B157" i="1"/>
  <c r="D156" i="1"/>
  <c r="C156" i="1"/>
  <c r="B156" i="1"/>
  <c r="D155" i="1"/>
  <c r="C155" i="1"/>
  <c r="B155" i="1"/>
  <c r="D154" i="1"/>
  <c r="C154" i="1"/>
  <c r="B154" i="1"/>
  <c r="D153" i="1"/>
  <c r="C153" i="1"/>
  <c r="B153" i="1"/>
  <c r="D152" i="1"/>
  <c r="C152" i="1"/>
  <c r="B152" i="1"/>
  <c r="D151" i="1"/>
  <c r="C151" i="1"/>
  <c r="B151" i="1"/>
  <c r="D150" i="1"/>
  <c r="C150" i="1"/>
  <c r="B150" i="1"/>
  <c r="D149" i="1"/>
  <c r="C149" i="1"/>
  <c r="B149" i="1"/>
  <c r="D148" i="1"/>
  <c r="C148" i="1"/>
  <c r="B148" i="1"/>
  <c r="D147" i="1"/>
  <c r="C147" i="1"/>
  <c r="B147" i="1"/>
  <c r="D146" i="1"/>
  <c r="C146" i="1"/>
  <c r="B146" i="1"/>
  <c r="D145" i="1"/>
  <c r="C145" i="1"/>
  <c r="B145" i="1"/>
  <c r="D144" i="1"/>
  <c r="C144" i="1"/>
  <c r="B144" i="1"/>
  <c r="D143" i="1"/>
  <c r="C143" i="1"/>
  <c r="B143" i="1"/>
  <c r="D142" i="1"/>
  <c r="C142" i="1"/>
  <c r="B142" i="1"/>
  <c r="G140" i="1"/>
  <c r="G139" i="1"/>
  <c r="G138" i="1"/>
  <c r="G137" i="1"/>
  <c r="G136" i="1"/>
  <c r="G135" i="1"/>
  <c r="G134" i="1"/>
  <c r="G133" i="1"/>
  <c r="G126" i="1"/>
  <c r="G125" i="1"/>
  <c r="G124" i="1"/>
  <c r="G123" i="1"/>
  <c r="G117" i="1"/>
  <c r="G116" i="1"/>
  <c r="G115" i="1"/>
  <c r="G114" i="1"/>
  <c r="G113" i="1"/>
  <c r="G112" i="1"/>
  <c r="G111" i="1"/>
  <c r="G110" i="1"/>
  <c r="G109" i="1"/>
  <c r="G108" i="1"/>
  <c r="G102" i="1"/>
  <c r="G101" i="1"/>
  <c r="G100" i="1"/>
  <c r="G99" i="1"/>
  <c r="G98" i="1"/>
  <c r="G97" i="1"/>
  <c r="G96" i="1"/>
  <c r="G89" i="1"/>
  <c r="G88" i="1"/>
  <c r="G87" i="1"/>
  <c r="G86" i="1"/>
  <c r="G85" i="1"/>
  <c r="G84" i="1"/>
  <c r="G83" i="1"/>
  <c r="G82" i="1"/>
  <c r="G81" i="1"/>
  <c r="G80" i="1"/>
  <c r="G79" i="1"/>
  <c r="G78" i="1"/>
  <c r="G77" i="1"/>
  <c r="G76" i="1"/>
  <c r="G75" i="1"/>
  <c r="G74" i="1"/>
  <c r="G73" i="1"/>
  <c r="G72" i="1"/>
  <c r="G71" i="1"/>
  <c r="G69" i="1"/>
  <c r="G68" i="1"/>
  <c r="G67" i="1"/>
  <c r="G66" i="1"/>
  <c r="G65" i="1"/>
  <c r="G64" i="1"/>
  <c r="G63" i="1"/>
  <c r="G62" i="1"/>
  <c r="G61" i="1"/>
  <c r="G60" i="1"/>
  <c r="G59" i="1"/>
  <c r="G58" i="1"/>
  <c r="G57" i="1"/>
  <c r="G56" i="1"/>
  <c r="G55" i="1"/>
  <c r="G54" i="1"/>
  <c r="G53" i="1"/>
  <c r="G52" i="1"/>
  <c r="G51" i="1"/>
  <c r="G49" i="1"/>
  <c r="E48" i="1"/>
  <c r="E47" i="1"/>
  <c r="E46" i="1"/>
  <c r="E45" i="1"/>
  <c r="E44" i="1"/>
  <c r="E43" i="1"/>
  <c r="E42" i="1"/>
  <c r="G36" i="1"/>
  <c r="G35" i="1"/>
  <c r="G34" i="1"/>
  <c r="G33" i="1"/>
  <c r="G32" i="1"/>
  <c r="G31" i="1"/>
  <c r="G30" i="1"/>
  <c r="G29" i="1"/>
  <c r="G18" i="1"/>
  <c r="G17" i="1"/>
  <c r="F16" i="1"/>
  <c r="G14" i="1"/>
  <c r="G10" i="1"/>
  <c r="A9" i="1"/>
  <c r="G6" i="1"/>
  <c r="C356" i="3"/>
  <c r="A421" i="4" l="1"/>
  <c r="A425" i="4" s="1"/>
  <c r="A427" i="4" s="1"/>
  <c r="A429" i="4" s="1"/>
  <c r="A415" i="4" s="1"/>
  <c r="A434" i="4" s="1"/>
  <c r="A436" i="4" s="1"/>
  <c r="A438" i="4" s="1"/>
  <c r="A440" i="4" s="1"/>
  <c r="A442" i="4" s="1"/>
  <c r="A444" i="4" s="1"/>
  <c r="A446" i="4" s="1"/>
  <c r="A448" i="4" s="1"/>
  <c r="A450" i="4" s="1"/>
  <c r="A452" i="4" s="1"/>
  <c r="A454" i="4" s="1"/>
  <c r="A458" i="4" s="1"/>
  <c r="A461" i="4" s="1"/>
  <c r="A463" i="4" s="1"/>
  <c r="A466" i="4" s="1"/>
  <c r="A468" i="4" s="1"/>
  <c r="G477" i="1"/>
  <c r="G510" i="1"/>
  <c r="G514" i="1"/>
  <c r="G553" i="1"/>
  <c r="G562" i="1"/>
  <c r="D2407" i="1"/>
  <c r="G334" i="1"/>
  <c r="C589" i="1"/>
  <c r="G589" i="1" s="1"/>
  <c r="G145" i="1"/>
  <c r="G149" i="1"/>
  <c r="G153" i="1"/>
  <c r="G855" i="1"/>
  <c r="G856" i="1" s="1"/>
  <c r="G455" i="1"/>
  <c r="G456" i="1" s="1"/>
  <c r="C946" i="1" s="1"/>
  <c r="G431" i="1"/>
  <c r="G432" i="1" s="1"/>
  <c r="C934" i="1" s="1"/>
  <c r="G513" i="1"/>
  <c r="G517" i="1"/>
  <c r="G552" i="1"/>
  <c r="G561" i="1"/>
  <c r="G574" i="1"/>
  <c r="G349" i="1"/>
  <c r="G505" i="1"/>
  <c r="G157" i="1"/>
  <c r="G439" i="1"/>
  <c r="G208" i="1"/>
  <c r="G212" i="1"/>
  <c r="G216" i="1"/>
  <c r="G220" i="1"/>
  <c r="G224" i="1"/>
  <c r="G498" i="1"/>
  <c r="G499" i="1" s="1"/>
  <c r="C88" i="3" s="1"/>
  <c r="G543" i="1"/>
  <c r="G142" i="1"/>
  <c r="G146" i="1"/>
  <c r="G150" i="1"/>
  <c r="G154" i="1"/>
  <c r="G158" i="1"/>
  <c r="G343" i="1"/>
  <c r="G424" i="1"/>
  <c r="G425" i="1" s="1"/>
  <c r="C72" i="3" s="1"/>
  <c r="C593" i="1"/>
  <c r="G593" i="1" s="1"/>
  <c r="G352" i="1"/>
  <c r="G323" i="1"/>
  <c r="G347" i="1"/>
  <c r="G394" i="1"/>
  <c r="G398" i="1" s="1"/>
  <c r="G373" i="1"/>
  <c r="G331" i="1"/>
  <c r="G327" i="1"/>
  <c r="J406" i="1"/>
  <c r="G345" i="1"/>
  <c r="G7" i="1"/>
  <c r="G492" i="1"/>
  <c r="C87" i="3" s="1"/>
  <c r="G445" i="1"/>
  <c r="G386" i="1"/>
  <c r="G390" i="1" s="1"/>
  <c r="G391" i="1" s="1"/>
  <c r="C921" i="1" s="1"/>
  <c r="G461" i="1"/>
  <c r="G563" i="1"/>
  <c r="D1870" i="1"/>
  <c r="G330" i="1"/>
  <c r="G370" i="1"/>
  <c r="G144" i="1"/>
  <c r="G148" i="1"/>
  <c r="G152" i="1"/>
  <c r="G156" i="1"/>
  <c r="G160" i="1"/>
  <c r="G207" i="1"/>
  <c r="G211" i="1"/>
  <c r="G512" i="1"/>
  <c r="G516" i="1"/>
  <c r="G551" i="1"/>
  <c r="G555" i="1"/>
  <c r="C600" i="1"/>
  <c r="G600" i="1" s="1"/>
  <c r="G47" i="1"/>
  <c r="C588" i="1"/>
  <c r="G588" i="1" s="1"/>
  <c r="G308" i="1"/>
  <c r="G309" i="1" s="1"/>
  <c r="C57" i="3" s="1"/>
  <c r="C592" i="1"/>
  <c r="G592" i="1" s="1"/>
  <c r="C596" i="1"/>
  <c r="G596" i="1" s="1"/>
  <c r="G104" i="1"/>
  <c r="G105" i="1" s="1"/>
  <c r="B590" i="1"/>
  <c r="B594" i="1"/>
  <c r="B598" i="1"/>
  <c r="G545" i="1"/>
  <c r="C586" i="1"/>
  <c r="G586" i="1" s="1"/>
  <c r="G511" i="1"/>
  <c r="G515" i="1"/>
  <c r="G550" i="1"/>
  <c r="G554" i="1"/>
  <c r="C591" i="1"/>
  <c r="G591" i="1" s="1"/>
  <c r="C595" i="1"/>
  <c r="G595" i="1" s="1"/>
  <c r="C599" i="1"/>
  <c r="G599" i="1" s="1"/>
  <c r="C587" i="1"/>
  <c r="G587" i="1" s="1"/>
  <c r="G38" i="1"/>
  <c r="B584" i="1"/>
  <c r="G213" i="1"/>
  <c r="G217" i="1"/>
  <c r="G221" i="1"/>
  <c r="G225" i="1"/>
  <c r="G365" i="1"/>
  <c r="G416" i="1"/>
  <c r="G417" i="1" s="1"/>
  <c r="C71" i="3" s="1"/>
  <c r="G43" i="1"/>
  <c r="G44" i="1"/>
  <c r="G48" i="1"/>
  <c r="G143" i="1"/>
  <c r="G147" i="1"/>
  <c r="G151" i="1"/>
  <c r="G155" i="1"/>
  <c r="G159" i="1"/>
  <c r="B585" i="1"/>
  <c r="G214" i="1"/>
  <c r="G218" i="1"/>
  <c r="G222" i="1"/>
  <c r="G544" i="1"/>
  <c r="D2400" i="1"/>
  <c r="D1850" i="1"/>
  <c r="G575" i="1"/>
  <c r="G128" i="1"/>
  <c r="G324" i="1"/>
  <c r="D700" i="1"/>
  <c r="G700" i="1" s="1"/>
  <c r="D733" i="1"/>
  <c r="G733" i="1" s="1"/>
  <c r="G740" i="1" s="1"/>
  <c r="D519" i="1"/>
  <c r="C519" i="1" s="1"/>
  <c r="G519" i="1" s="1"/>
  <c r="D521" i="1"/>
  <c r="C521" i="1" s="1"/>
  <c r="G521" i="1" s="1"/>
  <c r="D523" i="1"/>
  <c r="C523" i="1" s="1"/>
  <c r="G523" i="1" s="1"/>
  <c r="D525" i="1"/>
  <c r="C525" i="1" s="1"/>
  <c r="G525" i="1" s="1"/>
  <c r="D527" i="1"/>
  <c r="C527" i="1" s="1"/>
  <c r="G527" i="1" s="1"/>
  <c r="D529" i="1"/>
  <c r="C529" i="1" s="1"/>
  <c r="G529" i="1" s="1"/>
  <c r="D531" i="1"/>
  <c r="C531" i="1" s="1"/>
  <c r="G531" i="1" s="1"/>
  <c r="D533" i="1"/>
  <c r="C533" i="1" s="1"/>
  <c r="G533" i="1" s="1"/>
  <c r="D535" i="1"/>
  <c r="C535" i="1" s="1"/>
  <c r="G535" i="1" s="1"/>
  <c r="G584" i="1"/>
  <c r="G16" i="1"/>
  <c r="G200" i="1"/>
  <c r="G203" i="1" s="1"/>
  <c r="C583" i="1"/>
  <c r="B586" i="1"/>
  <c r="G585" i="1" s="1"/>
  <c r="B588" i="1"/>
  <c r="B589" i="1"/>
  <c r="B591" i="1"/>
  <c r="G590" i="1" s="1"/>
  <c r="B592" i="1"/>
  <c r="B593" i="1"/>
  <c r="B595" i="1"/>
  <c r="G594" i="1" s="1"/>
  <c r="B596" i="1"/>
  <c r="C597" i="1"/>
  <c r="B599" i="1"/>
  <c r="G598" i="1" s="1"/>
  <c r="B600" i="1"/>
  <c r="G317" i="1"/>
  <c r="G332" i="1"/>
  <c r="D708" i="1"/>
  <c r="G708" i="1" s="1"/>
  <c r="D717" i="1"/>
  <c r="G717" i="1" s="1"/>
  <c r="G478" i="1"/>
  <c r="C923" i="1" s="1"/>
  <c r="G486" i="1"/>
  <c r="D518" i="1"/>
  <c r="C518" i="1" s="1"/>
  <c r="G518" i="1" s="1"/>
  <c r="D520" i="1"/>
  <c r="C520" i="1" s="1"/>
  <c r="G520" i="1" s="1"/>
  <c r="D522" i="1"/>
  <c r="C522" i="1" s="1"/>
  <c r="G522" i="1" s="1"/>
  <c r="D524" i="1"/>
  <c r="C524" i="1" s="1"/>
  <c r="G524" i="1" s="1"/>
  <c r="D526" i="1"/>
  <c r="C526" i="1" s="1"/>
  <c r="G526" i="1" s="1"/>
  <c r="D528" i="1"/>
  <c r="C528" i="1" s="1"/>
  <c r="G528" i="1" s="1"/>
  <c r="D530" i="1"/>
  <c r="C530" i="1" s="1"/>
  <c r="G530" i="1" s="1"/>
  <c r="D532" i="1"/>
  <c r="C532" i="1" s="1"/>
  <c r="G532" i="1" s="1"/>
  <c r="D534" i="1"/>
  <c r="C534" i="1" s="1"/>
  <c r="G534" i="1" s="1"/>
  <c r="D536" i="1"/>
  <c r="C536" i="1" s="1"/>
  <c r="G536" i="1" s="1"/>
  <c r="G546" i="1"/>
  <c r="G45" i="1"/>
  <c r="G172" i="1"/>
  <c r="C582" i="1"/>
  <c r="B587" i="1"/>
  <c r="G11" i="1"/>
  <c r="A23" i="1" s="1"/>
  <c r="G42" i="1"/>
  <c r="G46" i="1"/>
  <c r="G119" i="1"/>
  <c r="G120" i="1" s="1"/>
  <c r="G173" i="1"/>
  <c r="G195" i="1"/>
  <c r="G196" i="1" s="1"/>
  <c r="C49" i="3" s="1"/>
  <c r="G209" i="1"/>
  <c r="G210" i="1"/>
  <c r="G215" i="1"/>
  <c r="G219" i="1"/>
  <c r="G223" i="1"/>
  <c r="G261" i="1"/>
  <c r="G262" i="1" s="1"/>
  <c r="C906" i="1" s="1"/>
  <c r="G290" i="1"/>
  <c r="G291" i="1" s="1"/>
  <c r="C919" i="1" s="1"/>
  <c r="D697" i="1"/>
  <c r="G697" i="1" s="1"/>
  <c r="G326" i="1"/>
  <c r="G328" i="1"/>
  <c r="D704" i="1"/>
  <c r="G704" i="1" s="1"/>
  <c r="G333" i="1"/>
  <c r="G335" i="1"/>
  <c r="G342" i="1"/>
  <c r="G344" i="1"/>
  <c r="G346" i="1"/>
  <c r="G348" i="1"/>
  <c r="G350" i="1"/>
  <c r="D726" i="1"/>
  <c r="G726" i="1" s="1"/>
  <c r="G444" i="1"/>
  <c r="C269" i="3"/>
  <c r="C268" i="3"/>
  <c r="C267" i="3"/>
  <c r="C244" i="3"/>
  <c r="C202" i="3"/>
  <c r="C172" i="3"/>
  <c r="C160" i="3"/>
  <c r="C138" i="3"/>
  <c r="C137" i="3"/>
  <c r="C136" i="3"/>
  <c r="C120" i="3"/>
  <c r="C104" i="3"/>
  <c r="A27" i="3"/>
  <c r="A29" i="3" s="1"/>
  <c r="A470" i="4" l="1"/>
  <c r="A472" i="4" s="1"/>
  <c r="A474" i="4" s="1"/>
  <c r="A476" i="4" s="1"/>
  <c r="G448" i="1"/>
  <c r="G449" i="1" s="1"/>
  <c r="C77" i="3" s="1"/>
  <c r="G565" i="1"/>
  <c r="G566" i="1" s="1"/>
  <c r="C96" i="3" s="1"/>
  <c r="G382" i="1"/>
  <c r="G383" i="1" s="1"/>
  <c r="C908" i="1" s="1"/>
  <c r="G578" i="1"/>
  <c r="G23" i="1"/>
  <c r="C29" i="3" s="1"/>
  <c r="C25" i="3"/>
  <c r="G183" i="1"/>
  <c r="G184" i="1" s="1"/>
  <c r="C47" i="3" s="1"/>
  <c r="C27" i="3"/>
  <c r="G162" i="1"/>
  <c r="G15" i="1" s="1"/>
  <c r="G20" i="1" s="1"/>
  <c r="C38" i="3"/>
  <c r="G538" i="1"/>
  <c r="G227" i="1"/>
  <c r="G338" i="1"/>
  <c r="G339" i="1" s="1"/>
  <c r="C907" i="1" s="1"/>
  <c r="G906" i="1" s="1"/>
  <c r="G354" i="1"/>
  <c r="G355" i="1" s="1"/>
  <c r="C920" i="1" s="1"/>
  <c r="G919" i="1" s="1"/>
  <c r="B597" i="1"/>
  <c r="G597" i="1"/>
  <c r="G91" i="1"/>
  <c r="B583" i="1"/>
  <c r="G583" i="1"/>
  <c r="G713" i="1"/>
  <c r="G714" i="1" s="1"/>
  <c r="C110" i="3" s="1"/>
  <c r="B582" i="1"/>
  <c r="G582" i="1"/>
  <c r="G729" i="1"/>
  <c r="G730" i="1" s="1"/>
  <c r="C111" i="3" s="1"/>
  <c r="C204" i="3"/>
  <c r="C203" i="3"/>
  <c r="C83" i="3"/>
  <c r="C78" i="3"/>
  <c r="C122" i="3"/>
  <c r="C121" i="3"/>
  <c r="C73" i="3"/>
  <c r="C106" i="3"/>
  <c r="C105" i="3"/>
  <c r="C132" i="3"/>
  <c r="C156" i="3"/>
  <c r="C155" i="3"/>
  <c r="C151" i="3"/>
  <c r="C246" i="3"/>
  <c r="C245" i="3"/>
  <c r="C67" i="3"/>
  <c r="C39" i="3"/>
  <c r="C55" i="3"/>
  <c r="C56" i="3"/>
  <c r="C115" i="3"/>
  <c r="C116" i="3"/>
  <c r="C167" i="3"/>
  <c r="C168" i="3"/>
  <c r="C173" i="3"/>
  <c r="C182" i="3"/>
  <c r="C183" i="3"/>
  <c r="C235" i="3"/>
  <c r="C236" i="3"/>
  <c r="C275" i="3"/>
  <c r="C276" i="3"/>
  <c r="C281" i="3"/>
  <c r="C282" i="3"/>
  <c r="C286" i="3"/>
  <c r="C287" i="3"/>
  <c r="C288" i="3"/>
  <c r="C291" i="3"/>
  <c r="C292" i="3"/>
  <c r="C308" i="3"/>
  <c r="C309" i="3"/>
  <c r="C310" i="3"/>
  <c r="C314" i="3"/>
  <c r="C315" i="3"/>
  <c r="C316" i="3"/>
  <c r="C326" i="3"/>
  <c r="C327" i="3"/>
  <c r="A31" i="3"/>
  <c r="C263" i="3"/>
  <c r="C262" i="3"/>
  <c r="C261" i="3"/>
  <c r="C359" i="3"/>
  <c r="C360" i="3"/>
  <c r="C361" i="3"/>
  <c r="C26" i="10"/>
  <c r="C47" i="14"/>
  <c r="C48" i="14"/>
  <c r="C63" i="8"/>
  <c r="C71" i="8"/>
  <c r="C66" i="3" l="1"/>
  <c r="C61" i="3"/>
  <c r="C62" i="3"/>
  <c r="G602" i="1"/>
  <c r="G603" i="1" s="1"/>
  <c r="C101" i="3" s="1"/>
  <c r="G907" i="1"/>
  <c r="G920" i="1"/>
  <c r="G72" i="9"/>
  <c r="C45" i="10" s="1"/>
  <c r="C77" i="9"/>
  <c r="G77" i="9" s="1"/>
  <c r="G80" i="9"/>
  <c r="G100" i="9"/>
  <c r="G101" i="9" s="1"/>
  <c r="C54" i="10" s="1"/>
  <c r="A25" i="1"/>
  <c r="A28" i="1" s="1"/>
  <c r="A41" i="1" s="1"/>
  <c r="A94" i="1" s="1"/>
  <c r="A132" i="1" s="1"/>
  <c r="A167" i="1" s="1"/>
  <c r="A206" i="1" s="1"/>
  <c r="A230" i="1" s="1"/>
  <c r="A320" i="1" s="1"/>
  <c r="A368" i="1" s="1"/>
  <c r="A401" i="1" s="1"/>
  <c r="A441" i="1" s="1"/>
  <c r="A458" i="1" s="1"/>
  <c r="A489" i="1" s="1"/>
  <c r="A509" i="1" s="1"/>
  <c r="A541" i="1" s="1"/>
  <c r="A581" i="1" s="1"/>
  <c r="A605" i="1" s="1"/>
  <c r="A695" i="1" s="1"/>
  <c r="A743" i="1" s="1"/>
  <c r="A769" i="1" s="1"/>
  <c r="A809" i="1" s="1"/>
  <c r="A848" i="1" s="1"/>
  <c r="A865" i="1" s="1"/>
  <c r="A896" i="1" s="1"/>
  <c r="A901" i="1" s="1"/>
  <c r="G539" i="1"/>
  <c r="C92" i="3" s="1"/>
  <c r="A33" i="3"/>
  <c r="A35" i="3" s="1"/>
  <c r="A37" i="3" s="1"/>
  <c r="A43" i="3" s="1"/>
  <c r="A46" i="3" s="1"/>
  <c r="A52" i="3" s="1"/>
  <c r="A54" i="3" s="1"/>
  <c r="A60" i="3" s="1"/>
  <c r="A65" i="3" s="1"/>
  <c r="A70" i="3" s="1"/>
  <c r="A76" i="3" s="1"/>
  <c r="A81" i="3" s="1"/>
  <c r="A86" i="3" s="1"/>
  <c r="A92" i="3" s="1"/>
  <c r="A94" i="3" s="1"/>
  <c r="A100" i="3" s="1"/>
  <c r="A103" i="3" s="1"/>
  <c r="A109" i="3" s="1"/>
  <c r="A114" i="3" s="1"/>
  <c r="A119" i="3" s="1"/>
  <c r="A125" i="3" s="1"/>
  <c r="A131" i="3" s="1"/>
  <c r="A135" i="3" s="1"/>
  <c r="G17" i="15"/>
  <c r="G18" i="15"/>
  <c r="G22" i="15" s="1"/>
  <c r="C28" i="16" s="1"/>
  <c r="G26" i="15"/>
  <c r="C30" i="16" s="1"/>
  <c r="G35" i="15"/>
  <c r="G36" i="15" s="1"/>
  <c r="C32" i="16" s="1"/>
  <c r="G45" i="15"/>
  <c r="G46" i="15" s="1"/>
  <c r="C34" i="16" s="1"/>
  <c r="G50" i="15"/>
  <c r="C37" i="16" s="1"/>
  <c r="G56" i="15"/>
  <c r="G57" i="15"/>
  <c r="C128" i="15" s="1"/>
  <c r="G128" i="15" s="1"/>
  <c r="G65" i="15"/>
  <c r="G66" i="15" s="1"/>
  <c r="G72" i="15"/>
  <c r="G73" i="15" s="1"/>
  <c r="G79" i="15"/>
  <c r="G80" i="15" s="1"/>
  <c r="G84" i="15"/>
  <c r="C47" i="16" s="1"/>
  <c r="G89" i="15"/>
  <c r="G90" i="15" s="1"/>
  <c r="C50" i="16" s="1"/>
  <c r="G96" i="15"/>
  <c r="G97" i="15" s="1"/>
  <c r="C52" i="16" s="1"/>
  <c r="G102" i="15"/>
  <c r="G104" i="15"/>
  <c r="G105" i="15" s="1"/>
  <c r="C54" i="16" s="1"/>
  <c r="G110" i="15"/>
  <c r="G112" i="15" s="1"/>
  <c r="G113" i="15" s="1"/>
  <c r="C56" i="16" s="1"/>
  <c r="G117" i="15"/>
  <c r="G119" i="15" s="1"/>
  <c r="G120" i="15" s="1"/>
  <c r="C58" i="16" s="1"/>
  <c r="G124" i="15"/>
  <c r="C60" i="16" s="1"/>
  <c r="C127" i="15"/>
  <c r="G127" i="15" s="1"/>
  <c r="G146" i="15"/>
  <c r="G147" i="15" s="1"/>
  <c r="C64" i="16" s="1"/>
  <c r="G151" i="15"/>
  <c r="G152" i="15" s="1"/>
  <c r="C66" i="16" s="1"/>
  <c r="C158" i="15"/>
  <c r="G158" i="15" s="1"/>
  <c r="G159" i="15" s="1"/>
  <c r="C70" i="16" s="1"/>
  <c r="G163" i="15"/>
  <c r="G164" i="15" s="1"/>
  <c r="C72" i="16" s="1"/>
  <c r="G170" i="15"/>
  <c r="C74" i="16" s="1"/>
  <c r="G173" i="15"/>
  <c r="C76" i="16"/>
  <c r="G176" i="15"/>
  <c r="C78" i="16" s="1"/>
  <c r="G182" i="15"/>
  <c r="G197" i="15" s="1"/>
  <c r="G183" i="15"/>
  <c r="C80" i="16" s="1"/>
  <c r="G189" i="15"/>
  <c r="G190" i="15" s="1"/>
  <c r="C82" i="16" s="1"/>
  <c r="G194" i="15"/>
  <c r="C84" i="16"/>
  <c r="A25" i="8"/>
  <c r="A27" i="8" s="1"/>
  <c r="A29" i="8" s="1"/>
  <c r="A31" i="8" s="1"/>
  <c r="A33" i="8" s="1"/>
  <c r="A36" i="8" s="1"/>
  <c r="A38" i="8" s="1"/>
  <c r="A40" i="8" s="1"/>
  <c r="A42" i="8" s="1"/>
  <c r="A44" i="8" s="1"/>
  <c r="A47" i="8" s="1"/>
  <c r="A49" i="8" s="1"/>
  <c r="A51" i="8" s="1"/>
  <c r="A53" i="8" s="1"/>
  <c r="A55" i="8" s="1"/>
  <c r="A57" i="8" s="1"/>
  <c r="A59" i="8" s="1"/>
  <c r="A61" i="8" s="1"/>
  <c r="G182" i="6"/>
  <c r="G183" i="6" s="1"/>
  <c r="C67" i="8" s="1"/>
  <c r="A34" i="14"/>
  <c r="A36" i="14" s="1"/>
  <c r="A38" i="14" s="1"/>
  <c r="A40" i="14" s="1"/>
  <c r="A42" i="14" s="1"/>
  <c r="A44" i="14" s="1"/>
  <c r="A46" i="14" s="1"/>
  <c r="A28" i="16"/>
  <c r="A30" i="16" s="1"/>
  <c r="A32" i="16" s="1"/>
  <c r="A34" i="16" s="1"/>
  <c r="A37" i="16" s="1"/>
  <c r="A39" i="16" s="1"/>
  <c r="A41" i="16" s="1"/>
  <c r="A43" i="16" s="1"/>
  <c r="A45" i="16" s="1"/>
  <c r="A47" i="16" s="1"/>
  <c r="A50" i="16" s="1"/>
  <c r="A52" i="16" s="1"/>
  <c r="A54" i="16" s="1"/>
  <c r="A56" i="16" s="1"/>
  <c r="A58" i="16" s="1"/>
  <c r="A60" i="16" s="1"/>
  <c r="A62" i="16" s="1"/>
  <c r="A64" i="16" s="1"/>
  <c r="A66" i="16" s="1"/>
  <c r="A68" i="16" s="1"/>
  <c r="A70" i="16" s="1"/>
  <c r="A72" i="16" s="1"/>
  <c r="A74" i="16" s="1"/>
  <c r="A76" i="16" s="1"/>
  <c r="A78" i="16" s="1"/>
  <c r="A80" i="16" s="1"/>
  <c r="A82" i="16" s="1"/>
  <c r="A84" i="16" s="1"/>
  <c r="A86" i="16" s="1"/>
  <c r="D24" i="13"/>
  <c r="G24" i="13" s="1"/>
  <c r="D25" i="13"/>
  <c r="G25" i="13"/>
  <c r="G11" i="13"/>
  <c r="G12" i="13" s="1"/>
  <c r="D31" i="13" s="1"/>
  <c r="G31" i="13" s="1"/>
  <c r="G32" i="13" s="1"/>
  <c r="C26" i="14" s="1"/>
  <c r="G34" i="13"/>
  <c r="G35" i="13" s="1"/>
  <c r="C28" i="14" s="1"/>
  <c r="G43" i="13"/>
  <c r="G44" i="13" s="1"/>
  <c r="C30" i="14" s="1"/>
  <c r="G48" i="13"/>
  <c r="C32" i="14" s="1"/>
  <c r="G68" i="13"/>
  <c r="G69" i="13" s="1"/>
  <c r="C52" i="13" s="1"/>
  <c r="G52" i="13" s="1"/>
  <c r="G77" i="13"/>
  <c r="G78" i="13" s="1"/>
  <c r="G64" i="13"/>
  <c r="G65" i="13"/>
  <c r="C36" i="14" s="1"/>
  <c r="G74" i="13"/>
  <c r="C40" i="14" s="1"/>
  <c r="G12" i="11"/>
  <c r="G13" i="11" s="1"/>
  <c r="G17" i="11" s="1"/>
  <c r="G23" i="11"/>
  <c r="G24" i="11" s="1"/>
  <c r="G31" i="11"/>
  <c r="G38" i="11"/>
  <c r="G44" i="11"/>
  <c r="G45" i="11"/>
  <c r="C92" i="11" s="1"/>
  <c r="G92" i="11" s="1"/>
  <c r="G51" i="11"/>
  <c r="C93" i="11" s="1"/>
  <c r="G93" i="11" s="1"/>
  <c r="G62" i="11"/>
  <c r="G63" i="11"/>
  <c r="G69" i="11"/>
  <c r="G70" i="11" s="1"/>
  <c r="G76" i="11"/>
  <c r="G77" i="11" s="1"/>
  <c r="C90" i="11"/>
  <c r="G90" i="11" s="1"/>
  <c r="C91" i="11"/>
  <c r="G91" i="11" s="1"/>
  <c r="C94" i="11"/>
  <c r="G94" i="11"/>
  <c r="G107" i="11"/>
  <c r="G108" i="11" s="1"/>
  <c r="G115" i="11"/>
  <c r="G116" i="11" s="1"/>
  <c r="C123" i="11"/>
  <c r="G123" i="11" s="1"/>
  <c r="G124" i="11" s="1"/>
  <c r="G128" i="11"/>
  <c r="G129" i="11" s="1"/>
  <c r="G144" i="11"/>
  <c r="G145" i="11" s="1"/>
  <c r="G151" i="11"/>
  <c r="G152" i="11"/>
  <c r="G156" i="11"/>
  <c r="G158" i="11"/>
  <c r="G160" i="11"/>
  <c r="G111" i="11"/>
  <c r="A22" i="15"/>
  <c r="A24" i="15" s="1"/>
  <c r="A28" i="15" s="1"/>
  <c r="A39" i="15" s="1"/>
  <c r="A48" i="15" s="1"/>
  <c r="A52" i="15" s="1"/>
  <c r="A60" i="15" s="1"/>
  <c r="A68" i="15" s="1"/>
  <c r="A75" i="15" s="1"/>
  <c r="A82" i="15" s="1"/>
  <c r="A88" i="15" s="1"/>
  <c r="A92" i="15" s="1"/>
  <c r="A100" i="15" s="1"/>
  <c r="A108" i="15" s="1"/>
  <c r="A115" i="15" s="1"/>
  <c r="A122" i="15" s="1"/>
  <c r="A126" i="15" s="1"/>
  <c r="A137" i="15" s="1"/>
  <c r="A149" i="15" s="1"/>
  <c r="A154" i="15" s="1"/>
  <c r="A157" i="15" s="1"/>
  <c r="A161" i="15" s="1"/>
  <c r="A166" i="15" s="1"/>
  <c r="A172" i="15" s="1"/>
  <c r="A175" i="15" s="1"/>
  <c r="A178" i="15" s="1"/>
  <c r="A185" i="15" s="1"/>
  <c r="A192" i="15" s="1"/>
  <c r="A196" i="15" s="1"/>
  <c r="G16" i="6"/>
  <c r="G20" i="6" s="1"/>
  <c r="G23" i="6" s="1"/>
  <c r="G24" i="6" s="1"/>
  <c r="G39" i="6"/>
  <c r="G40" i="6" s="1"/>
  <c r="C31" i="8" s="1"/>
  <c r="G50" i="6"/>
  <c r="G51" i="6" s="1"/>
  <c r="G60" i="6"/>
  <c r="G62" i="6" s="1"/>
  <c r="G63" i="6" s="1"/>
  <c r="G70" i="6"/>
  <c r="G71" i="6"/>
  <c r="C40" i="8" s="1"/>
  <c r="G77" i="6"/>
  <c r="G78" i="6" s="1"/>
  <c r="G95" i="6"/>
  <c r="G97" i="6" s="1"/>
  <c r="G98" i="6" s="1"/>
  <c r="C47" i="8" s="1"/>
  <c r="G113" i="6"/>
  <c r="G115" i="6" s="1"/>
  <c r="G116" i="6" s="1"/>
  <c r="C51" i="8" s="1"/>
  <c r="G122" i="6"/>
  <c r="G123" i="6" s="1"/>
  <c r="C53" i="8" s="1"/>
  <c r="G130" i="6"/>
  <c r="G131" i="6" s="1"/>
  <c r="C55" i="8" s="1"/>
  <c r="C138" i="6"/>
  <c r="G138" i="6" s="1"/>
  <c r="G150" i="6"/>
  <c r="G151" i="6" s="1"/>
  <c r="C59" i="8" s="1"/>
  <c r="F169" i="6"/>
  <c r="G170" i="6" s="1"/>
  <c r="G173" i="6" s="1"/>
  <c r="G174" i="6" s="1"/>
  <c r="C65" i="8" s="1"/>
  <c r="G194" i="6"/>
  <c r="G195" i="6" s="1"/>
  <c r="C73" i="8" s="1"/>
  <c r="G204" i="6"/>
  <c r="G218" i="6" s="1"/>
  <c r="G210" i="6"/>
  <c r="G211" i="6" s="1"/>
  <c r="G215" i="6"/>
  <c r="C79" i="8" s="1"/>
  <c r="G2435" i="1"/>
  <c r="C353" i="3" s="1"/>
  <c r="G1146" i="1"/>
  <c r="C161" i="3" s="1"/>
  <c r="G1151" i="1"/>
  <c r="C164" i="3" s="1"/>
  <c r="G2456" i="1"/>
  <c r="G2457" i="1" s="1"/>
  <c r="C369" i="3" s="1"/>
  <c r="G2413" i="1"/>
  <c r="G2414" i="1"/>
  <c r="G1830" i="1"/>
  <c r="G1832" i="1" s="1"/>
  <c r="G2407" i="1"/>
  <c r="G2384" i="1"/>
  <c r="C333" i="3" s="1"/>
  <c r="G1509" i="1"/>
  <c r="G1511" i="1" s="1"/>
  <c r="G2366" i="1" s="1"/>
  <c r="G1666" i="1"/>
  <c r="G1667" i="1" s="1"/>
  <c r="G2241" i="1"/>
  <c r="C305" i="3" s="1"/>
  <c r="G2206" i="1"/>
  <c r="G2208" i="1" s="1"/>
  <c r="G2209" i="1" s="1"/>
  <c r="C301" i="3" s="1"/>
  <c r="G2181" i="1"/>
  <c r="G2183" i="1" s="1"/>
  <c r="G2184" i="1" s="1"/>
  <c r="C297" i="3" s="1"/>
  <c r="G2133" i="1"/>
  <c r="C293" i="3" s="1"/>
  <c r="G2055" i="1"/>
  <c r="C283" i="3" s="1"/>
  <c r="G1993" i="1"/>
  <c r="C272" i="3" s="1"/>
  <c r="G1384" i="1"/>
  <c r="C217" i="3" s="1"/>
  <c r="G1369" i="1"/>
  <c r="G1370" i="1" s="1"/>
  <c r="C213" i="3" s="1"/>
  <c r="G1332" i="1"/>
  <c r="G1333" i="1" s="1"/>
  <c r="C208" i="3" s="1"/>
  <c r="G1206" i="1"/>
  <c r="G1207" i="1" s="1"/>
  <c r="C179" i="3" s="1"/>
  <c r="G1194" i="1"/>
  <c r="C174" i="3" s="1"/>
  <c r="G1173" i="1"/>
  <c r="C169" i="3" s="1"/>
  <c r="G741" i="1"/>
  <c r="C112" i="3" s="1"/>
  <c r="G129" i="1"/>
  <c r="C40" i="3" s="1"/>
  <c r="G21" i="1"/>
  <c r="G25" i="1" s="1"/>
  <c r="C31" i="3" s="1"/>
  <c r="G366" i="1"/>
  <c r="C932" i="1" s="1"/>
  <c r="G932" i="1" s="1"/>
  <c r="C930" i="1"/>
  <c r="G930" i="1" s="1"/>
  <c r="C931" i="1"/>
  <c r="G931" i="1" s="1"/>
  <c r="G399" i="1"/>
  <c r="C68" i="3" s="1"/>
  <c r="G934" i="1"/>
  <c r="G487" i="1"/>
  <c r="C935" i="1" s="1"/>
  <c r="G935" i="1" s="1"/>
  <c r="G506" i="1"/>
  <c r="C89" i="3" s="1"/>
  <c r="G2373" i="1"/>
  <c r="G1724" i="1"/>
  <c r="G1725" i="1" s="1"/>
  <c r="C240" i="3" s="1"/>
  <c r="F547" i="1"/>
  <c r="G547" i="1" s="1"/>
  <c r="F548" i="1"/>
  <c r="G548" i="1" s="1"/>
  <c r="F549" i="1"/>
  <c r="G549" i="1" s="1"/>
  <c r="C835" i="1"/>
  <c r="D835" i="1"/>
  <c r="D836" i="1"/>
  <c r="G836" i="1" s="1"/>
  <c r="G863" i="1"/>
  <c r="C133" i="3" s="1"/>
  <c r="C189" i="3"/>
  <c r="G692" i="1"/>
  <c r="G693" i="1" s="1"/>
  <c r="C107" i="3" s="1"/>
  <c r="G1404" i="1"/>
  <c r="G1405" i="1" s="1"/>
  <c r="C221" i="3" s="1"/>
  <c r="G1761" i="1"/>
  <c r="C241" i="3" s="1"/>
  <c r="G318" i="1"/>
  <c r="C944" i="1" s="1"/>
  <c r="G944" i="1" s="1"/>
  <c r="G806" i="1"/>
  <c r="G807" i="1" s="1"/>
  <c r="C123" i="3" s="1"/>
  <c r="G1354" i="1"/>
  <c r="G1355" i="1" s="1"/>
  <c r="C212" i="3" s="1"/>
  <c r="C922" i="1"/>
  <c r="G922" i="1" s="1"/>
  <c r="G921" i="1"/>
  <c r="G39" i="1"/>
  <c r="C33" i="3" s="1"/>
  <c r="G92" i="1"/>
  <c r="C35" i="3" s="1"/>
  <c r="G163" i="1"/>
  <c r="C43" i="3" s="1"/>
  <c r="G191" i="1"/>
  <c r="G192" i="1" s="1"/>
  <c r="G228" i="1"/>
  <c r="C905" i="1" s="1"/>
  <c r="G905" i="1" s="1"/>
  <c r="G440" i="1"/>
  <c r="C945" i="1" s="1"/>
  <c r="G945" i="1" s="1"/>
  <c r="G469" i="1"/>
  <c r="G470" i="1" s="1"/>
  <c r="F569" i="1"/>
  <c r="G569" i="1" s="1"/>
  <c r="G570" i="1" s="1"/>
  <c r="C97" i="3" s="1"/>
  <c r="G767" i="1"/>
  <c r="C117" i="3" s="1"/>
  <c r="C811" i="1"/>
  <c r="D811" i="1"/>
  <c r="C812" i="1"/>
  <c r="D812" i="1"/>
  <c r="D827" i="1"/>
  <c r="G827" i="1" s="1"/>
  <c r="D828" i="1"/>
  <c r="G828" i="1" s="1"/>
  <c r="D829" i="1"/>
  <c r="G829" i="1" s="1"/>
  <c r="D842" i="1"/>
  <c r="G842" i="1" s="1"/>
  <c r="G845" i="1" s="1"/>
  <c r="G846" i="1" s="1"/>
  <c r="C129" i="3" s="1"/>
  <c r="C904" i="1"/>
  <c r="G904" i="1" s="1"/>
  <c r="G908" i="1"/>
  <c r="C909" i="1"/>
  <c r="G909" i="1" s="1"/>
  <c r="C910" i="1"/>
  <c r="G910" i="1" s="1"/>
  <c r="C912" i="1"/>
  <c r="G912" i="1" s="1"/>
  <c r="G923" i="1"/>
  <c r="C924" i="1"/>
  <c r="G924" i="1" s="1"/>
  <c r="G204" i="1"/>
  <c r="C50" i="3" s="1"/>
  <c r="G946" i="1"/>
  <c r="G1028" i="1"/>
  <c r="G1030" i="1" s="1"/>
  <c r="G1031" i="1" s="1"/>
  <c r="C150" i="3" s="1"/>
  <c r="G1100" i="1"/>
  <c r="C152" i="3" s="1"/>
  <c r="G1130" i="1"/>
  <c r="C157" i="3" s="1"/>
  <c r="G1198" i="1"/>
  <c r="G1199" i="1" s="1"/>
  <c r="C177" i="3" s="1"/>
  <c r="G1202" i="1"/>
  <c r="G1203" i="1" s="1"/>
  <c r="C178" i="3" s="1"/>
  <c r="G1220" i="1"/>
  <c r="C184" i="3" s="1"/>
  <c r="G1235" i="1"/>
  <c r="G1236" i="1" s="1"/>
  <c r="C187" i="3" s="1"/>
  <c r="G1250" i="1"/>
  <c r="G1251" i="1" s="1"/>
  <c r="C188" i="3" s="1"/>
  <c r="G1327" i="1"/>
  <c r="G1328" i="1" s="1"/>
  <c r="C207" i="3" s="1"/>
  <c r="C1337" i="1"/>
  <c r="G1337" i="1" s="1"/>
  <c r="G1338" i="1" s="1"/>
  <c r="C209" i="3" s="1"/>
  <c r="G1378" i="1"/>
  <c r="G1379" i="1" s="1"/>
  <c r="C214" i="3" s="1"/>
  <c r="G1396" i="1"/>
  <c r="G1397" i="1" s="1"/>
  <c r="C220" i="3" s="1"/>
  <c r="G1412" i="1"/>
  <c r="G1413" i="1" s="1"/>
  <c r="C222" i="3" s="1"/>
  <c r="G1824" i="1"/>
  <c r="G1826" i="1" s="1"/>
  <c r="G2399" i="1" s="1"/>
  <c r="G2024" i="1"/>
  <c r="C277" i="3" s="1"/>
  <c r="G2158" i="1"/>
  <c r="G2160" i="1" s="1"/>
  <c r="G2161" i="1" s="1"/>
  <c r="C296" i="3" s="1"/>
  <c r="G2193" i="1"/>
  <c r="G2195" i="1" s="1"/>
  <c r="G2196" i="1" s="1"/>
  <c r="C298" i="3" s="1"/>
  <c r="G2213" i="1"/>
  <c r="G2215" i="1" s="1"/>
  <c r="G2216" i="1" s="1"/>
  <c r="C302" i="3" s="1"/>
  <c r="G2362" i="1"/>
  <c r="C328" i="3" s="1"/>
  <c r="G2400" i="1"/>
  <c r="G2421" i="1"/>
  <c r="C347" i="3" s="1"/>
  <c r="G2429" i="1"/>
  <c r="G2430" i="1" s="1"/>
  <c r="C350" i="3" s="1"/>
  <c r="G2453" i="1"/>
  <c r="G2454" i="1" s="1"/>
  <c r="C368" i="3" s="1"/>
  <c r="G1969" i="1"/>
  <c r="C264" i="3" s="1"/>
  <c r="G579" i="1"/>
  <c r="C98" i="3" s="1"/>
  <c r="G899" i="1"/>
  <c r="C141" i="3" s="1"/>
  <c r="G1850" i="1"/>
  <c r="G1852" i="1" s="1"/>
  <c r="G1853" i="1" s="1"/>
  <c r="C255" i="3" s="1"/>
  <c r="G1434" i="1"/>
  <c r="C227" i="3" s="1"/>
  <c r="G1448" i="1"/>
  <c r="G1449" i="1" s="1"/>
  <c r="C231" i="3" s="1"/>
  <c r="G1879" i="1"/>
  <c r="G1881" i="1" s="1"/>
  <c r="G1882" i="1" s="1"/>
  <c r="C258" i="3" s="1"/>
  <c r="A76" i="9"/>
  <c r="A86" i="9" s="1"/>
  <c r="G1861" i="1"/>
  <c r="G1863" i="1" s="1"/>
  <c r="G1864" i="1" s="1"/>
  <c r="C256" i="3" s="1"/>
  <c r="G1870" i="1"/>
  <c r="G1872" i="1" s="1"/>
  <c r="G1873" i="1" s="1"/>
  <c r="C257" i="3" s="1"/>
  <c r="G2288" i="1"/>
  <c r="G2289" i="1" s="1"/>
  <c r="C311" i="3" s="1"/>
  <c r="G2349" i="1"/>
  <c r="G2351" i="1" s="1"/>
  <c r="G2352" i="1" s="1"/>
  <c r="C323" i="3" s="1"/>
  <c r="G2336" i="1"/>
  <c r="G2337" i="1" s="1"/>
  <c r="C320" i="3" s="1"/>
  <c r="A17" i="11"/>
  <c r="A19" i="11"/>
  <c r="A26" i="11" s="1"/>
  <c r="A34" i="11" s="1"/>
  <c r="A37" i="11" s="1"/>
  <c r="A40" i="11" s="1"/>
  <c r="A47" i="11" s="1"/>
  <c r="A53" i="11" s="1"/>
  <c r="A57" i="11" s="1"/>
  <c r="A61" i="11" s="1"/>
  <c r="A65" i="11" s="1"/>
  <c r="A72" i="11" s="1"/>
  <c r="A79" i="11" s="1"/>
  <c r="A84" i="11" s="1"/>
  <c r="A89" i="11" s="1"/>
  <c r="A99" i="11" s="1"/>
  <c r="A109" i="11" s="1"/>
  <c r="A113" i="11" s="1"/>
  <c r="A118" i="11" s="1"/>
  <c r="A122" i="11" s="1"/>
  <c r="A126" i="11" s="1"/>
  <c r="A131" i="11" s="1"/>
  <c r="A136" i="11" s="1"/>
  <c r="A147" i="11" s="1"/>
  <c r="A154" i="11" s="1"/>
  <c r="A157" i="11" s="1"/>
  <c r="A165" i="11" s="1"/>
  <c r="G2499" i="1"/>
  <c r="C384" i="3" s="1"/>
  <c r="G2476" i="1"/>
  <c r="C374" i="3" s="1"/>
  <c r="A23" i="13"/>
  <c r="A31" i="13" s="1"/>
  <c r="A34" i="13" s="1"/>
  <c r="A38" i="13" s="1"/>
  <c r="A46" i="13" s="1"/>
  <c r="A51" i="13" s="1"/>
  <c r="A58" i="13" s="1"/>
  <c r="A67" i="13" s="1"/>
  <c r="A72" i="13" s="1"/>
  <c r="A76" i="13" s="1"/>
  <c r="A80" i="13" s="1"/>
  <c r="A84" i="13" s="1"/>
  <c r="C42" i="8" l="1"/>
  <c r="C137" i="6"/>
  <c r="G137" i="6" s="1"/>
  <c r="C45" i="16"/>
  <c r="C131" i="15"/>
  <c r="G131" i="15" s="1"/>
  <c r="G96" i="11"/>
  <c r="G97" i="11" s="1"/>
  <c r="C134" i="6"/>
  <c r="G134" i="6" s="1"/>
  <c r="C36" i="8"/>
  <c r="C42" i="14"/>
  <c r="C53" i="13"/>
  <c r="G53" i="13" s="1"/>
  <c r="G55" i="13"/>
  <c r="G56" i="13" s="1"/>
  <c r="C34" i="14" s="1"/>
  <c r="G159" i="11"/>
  <c r="G162" i="11" s="1"/>
  <c r="G163" i="11" s="1"/>
  <c r="C39" i="16"/>
  <c r="G28" i="13"/>
  <c r="G29" i="13" s="1"/>
  <c r="C24" i="14" s="1"/>
  <c r="C43" i="16"/>
  <c r="C130" i="15"/>
  <c r="G130" i="15" s="1"/>
  <c r="A65" i="8"/>
  <c r="A67" i="8" s="1"/>
  <c r="A69" i="8" s="1"/>
  <c r="A71" i="8" s="1"/>
  <c r="A73" i="8" s="1"/>
  <c r="A75" i="8" s="1"/>
  <c r="A77" i="8" s="1"/>
  <c r="A79" i="8" s="1"/>
  <c r="A81" i="8" s="1"/>
  <c r="A83" i="8" s="1"/>
  <c r="A63" i="8"/>
  <c r="C129" i="15"/>
  <c r="G129" i="15" s="1"/>
  <c r="C41" i="16"/>
  <c r="C135" i="6"/>
  <c r="G135" i="6" s="1"/>
  <c r="C38" i="8"/>
  <c r="G219" i="6"/>
  <c r="G221" i="6" s="1"/>
  <c r="G222" i="6" s="1"/>
  <c r="C81" i="8" s="1"/>
  <c r="C77" i="8"/>
  <c r="C132" i="15"/>
  <c r="G132" i="15" s="1"/>
  <c r="D81" i="13"/>
  <c r="G81" i="13" s="1"/>
  <c r="G82" i="13" s="1"/>
  <c r="C44" i="14" s="1"/>
  <c r="G17" i="6"/>
  <c r="G205" i="6"/>
  <c r="C75" i="8" s="1"/>
  <c r="G198" i="15"/>
  <c r="G200" i="15" s="1"/>
  <c r="G201" i="15" s="1"/>
  <c r="C86" i="16" s="1"/>
  <c r="C136" i="6"/>
  <c r="G136" i="6" s="1"/>
  <c r="C38" i="14"/>
  <c r="A93" i="9"/>
  <c r="A98" i="9" s="1"/>
  <c r="A103" i="9" s="1"/>
  <c r="G82" i="9"/>
  <c r="G83" i="9" s="1"/>
  <c r="C47" i="10" s="1"/>
  <c r="A951" i="1"/>
  <c r="A1102" i="1" s="1"/>
  <c r="A1132" i="1" s="1"/>
  <c r="A1148" i="1" s="1"/>
  <c r="A1154" i="1" s="1"/>
  <c r="A1175" i="1" s="1"/>
  <c r="A1196" i="1" s="1"/>
  <c r="A1209" i="1" s="1"/>
  <c r="A1222" i="1" s="1"/>
  <c r="A140" i="3"/>
  <c r="A143" i="3" s="1"/>
  <c r="A149" i="3" s="1"/>
  <c r="A154" i="3" s="1"/>
  <c r="A159" i="3" s="1"/>
  <c r="A163" i="3" s="1"/>
  <c r="A166" i="3" s="1"/>
  <c r="A171" i="3" s="1"/>
  <c r="A176" i="3" s="1"/>
  <c r="A181" i="3" s="1"/>
  <c r="A186" i="3" s="1"/>
  <c r="A193" i="3" s="1"/>
  <c r="A197" i="3" s="1"/>
  <c r="A201" i="3" s="1"/>
  <c r="G2416" i="1"/>
  <c r="G2417" i="1" s="1"/>
  <c r="C344" i="3" s="1"/>
  <c r="C943" i="1"/>
  <c r="G943" i="1" s="1"/>
  <c r="G948" i="1" s="1"/>
  <c r="G949" i="1" s="1"/>
  <c r="C147" i="3" s="1"/>
  <c r="C58" i="3"/>
  <c r="C63" i="3"/>
  <c r="C84" i="3"/>
  <c r="C936" i="1"/>
  <c r="G936" i="1" s="1"/>
  <c r="G2402" i="1"/>
  <c r="G2403" i="1" s="1"/>
  <c r="C342" i="3" s="1"/>
  <c r="G1827" i="1"/>
  <c r="C249" i="3" s="1"/>
  <c r="C74" i="3"/>
  <c r="G835" i="1"/>
  <c r="G838" i="1" s="1"/>
  <c r="G839" i="1" s="1"/>
  <c r="C128" i="3" s="1"/>
  <c r="C933" i="1"/>
  <c r="G933" i="1" s="1"/>
  <c r="G2395" i="1"/>
  <c r="C339" i="3" s="1"/>
  <c r="C48" i="3"/>
  <c r="C918" i="1"/>
  <c r="G918" i="1" s="1"/>
  <c r="G926" i="1" s="1"/>
  <c r="G927" i="1" s="1"/>
  <c r="C145" i="3" s="1"/>
  <c r="G1842" i="1"/>
  <c r="C251" i="3" s="1"/>
  <c r="G2406" i="1"/>
  <c r="G2409" i="1" s="1"/>
  <c r="G2410" i="1" s="1"/>
  <c r="C343" i="3" s="1"/>
  <c r="G1833" i="1"/>
  <c r="C250" i="3" s="1"/>
  <c r="G2367" i="1"/>
  <c r="G2369" i="1" s="1"/>
  <c r="G2370" i="1" s="1"/>
  <c r="C239" i="3"/>
  <c r="G2374" i="1"/>
  <c r="G2376" i="1" s="1"/>
  <c r="G2377" i="1" s="1"/>
  <c r="C332" i="3" s="1"/>
  <c r="G811" i="1"/>
  <c r="C903" i="1"/>
  <c r="G903" i="1" s="1"/>
  <c r="C52" i="3"/>
  <c r="C911" i="1"/>
  <c r="G911" i="1" s="1"/>
  <c r="C82" i="3"/>
  <c r="G831" i="1"/>
  <c r="G832" i="1" s="1"/>
  <c r="C127" i="3" s="1"/>
  <c r="G812" i="1"/>
  <c r="G1512" i="1"/>
  <c r="G557" i="1"/>
  <c r="G558" i="1" s="1"/>
  <c r="C95" i="3" s="1"/>
  <c r="G140" i="6" l="1"/>
  <c r="G141" i="6" s="1"/>
  <c r="C57" i="8" s="1"/>
  <c r="G134" i="15"/>
  <c r="G135" i="15" s="1"/>
  <c r="C62" i="16" s="1"/>
  <c r="A1266" i="1"/>
  <c r="A1277" i="1" s="1"/>
  <c r="A1285" i="1" s="1"/>
  <c r="C23" i="8"/>
  <c r="G26" i="6"/>
  <c r="A206" i="3"/>
  <c r="A211" i="3" s="1"/>
  <c r="A216" i="3" s="1"/>
  <c r="A219" i="3" s="1"/>
  <c r="G914" i="1"/>
  <c r="G915" i="1" s="1"/>
  <c r="C144" i="3" s="1"/>
  <c r="G938" i="1"/>
  <c r="G939" i="1" s="1"/>
  <c r="C146" i="3" s="1"/>
  <c r="C234" i="3"/>
  <c r="C331" i="3"/>
  <c r="G2389" i="1"/>
  <c r="C337" i="3" s="1"/>
  <c r="G823" i="1"/>
  <c r="G824" i="1" s="1"/>
  <c r="C126" i="3" s="1"/>
  <c r="G2392" i="1"/>
  <c r="C338" i="3" s="1"/>
  <c r="A1324" i="1" l="1"/>
  <c r="A1340" i="1" s="1"/>
  <c r="A1381" i="1" s="1"/>
  <c r="A1386" i="1" s="1"/>
  <c r="A1415" i="1" s="1"/>
  <c r="A1436" i="1" s="1"/>
  <c r="A1451" i="1" s="1"/>
  <c r="A1606" i="1" s="1"/>
  <c r="A1764" i="1" s="1"/>
  <c r="A1822" i="1" s="1"/>
  <c r="A1844" i="1" s="1"/>
  <c r="A1885" i="1" s="1"/>
  <c r="A1972" i="1" s="1"/>
  <c r="A1979" i="1" s="1"/>
  <c r="A1995" i="1" s="1"/>
  <c r="A2026" i="1" s="1"/>
  <c r="A2057" i="1" s="1"/>
  <c r="A2079" i="1" s="1"/>
  <c r="A2136" i="1" s="1"/>
  <c r="A2197" i="1" s="1"/>
  <c r="A2218" i="1" s="1"/>
  <c r="A2243" i="1" s="1"/>
  <c r="A2291" i="1" s="1"/>
  <c r="A2332" i="1" s="1"/>
  <c r="A2339" i="1" s="1"/>
  <c r="A2354" i="1" s="1"/>
  <c r="A2364" i="1" s="1"/>
  <c r="A2387" i="1" s="1"/>
  <c r="A2397" i="1" s="1"/>
  <c r="A2420" i="1" s="1"/>
  <c r="A2423" i="1" s="1"/>
  <c r="A2432" i="1" s="1"/>
  <c r="A2436" i="1" s="1"/>
  <c r="A2439" i="1" s="1"/>
  <c r="A2450" i="1" s="1"/>
  <c r="A2452" i="1" s="1"/>
  <c r="A2459" i="1" s="1"/>
  <c r="A2479" i="1" s="1"/>
  <c r="A2481" i="1" s="1"/>
  <c r="A2501" i="1" s="1"/>
  <c r="C25" i="8"/>
  <c r="G28" i="6"/>
  <c r="C27" i="8" s="1"/>
  <c r="A225" i="3"/>
  <c r="A229" i="3" s="1"/>
  <c r="A233" i="3" s="1"/>
  <c r="A238" i="3" s="1"/>
  <c r="A243" i="3" s="1"/>
  <c r="A248" i="3" s="1"/>
  <c r="A254" i="3" l="1"/>
  <c r="A260" i="3" s="1"/>
  <c r="A266" i="3" s="1"/>
  <c r="A271" i="3" s="1"/>
  <c r="A274" i="3" s="1"/>
  <c r="A280" i="3" s="1"/>
  <c r="A285" i="3" s="1"/>
  <c r="A290" i="3" s="1"/>
  <c r="A295" i="3" s="1"/>
  <c r="A300" i="3" s="1"/>
  <c r="A304" i="3" s="1"/>
  <c r="A307" i="3" s="1"/>
  <c r="A313" i="3" s="1"/>
  <c r="A319" i="3" l="1"/>
  <c r="A322" i="3" s="1"/>
  <c r="A325" i="3" s="1"/>
  <c r="A330" i="3" s="1"/>
  <c r="A336" i="3" s="1"/>
  <c r="A341" i="3" s="1"/>
  <c r="A346" i="3" s="1"/>
  <c r="A349" i="3" s="1"/>
  <c r="A352" i="3" s="1"/>
  <c r="A355" i="3" s="1"/>
  <c r="A358" i="3" s="1"/>
  <c r="A363" i="3" s="1"/>
  <c r="A366" i="3" s="1"/>
  <c r="A372" i="3" s="1"/>
  <c r="A376" i="3" s="1"/>
  <c r="A378" i="3" s="1"/>
  <c r="A386" i="3" s="1"/>
</calcChain>
</file>

<file path=xl/sharedStrings.xml><?xml version="1.0" encoding="utf-8"?>
<sst xmlns="http://schemas.openxmlformats.org/spreadsheetml/2006/main" count="6363" uniqueCount="938">
  <si>
    <t>SL.NO.</t>
  </si>
  <si>
    <t>ITEM</t>
  </si>
  <si>
    <t>NOS.</t>
  </si>
  <si>
    <t>L</t>
  </si>
  <si>
    <t>B</t>
  </si>
  <si>
    <t>D</t>
  </si>
  <si>
    <t>QNTTY.</t>
  </si>
  <si>
    <t>UNIT</t>
  </si>
  <si>
    <t>Columns:</t>
  </si>
  <si>
    <t>Cum</t>
  </si>
  <si>
    <t>"</t>
  </si>
  <si>
    <t>Total</t>
  </si>
  <si>
    <t>Cum.</t>
  </si>
  <si>
    <t>Say,</t>
  </si>
  <si>
    <t>Earthwork Back filling:</t>
  </si>
  <si>
    <t>In Plinth area:</t>
  </si>
  <si>
    <t>Floor bed</t>
  </si>
  <si>
    <t>Sqm.</t>
  </si>
  <si>
    <t>@</t>
  </si>
  <si>
    <t>K.g</t>
  </si>
  <si>
    <t>Description of Item</t>
  </si>
  <si>
    <t>Quantity</t>
  </si>
  <si>
    <t>Unit</t>
  </si>
  <si>
    <t>Total:</t>
  </si>
  <si>
    <t>Kg.</t>
  </si>
  <si>
    <t>Internal plaster area:</t>
  </si>
  <si>
    <t xml:space="preserve">Plinth Beam </t>
  </si>
  <si>
    <t xml:space="preserve"> @ 21 Kg/Sqm</t>
  </si>
  <si>
    <t>Partition wall</t>
  </si>
  <si>
    <t>D3</t>
  </si>
  <si>
    <t>D1</t>
  </si>
  <si>
    <t>Toilet</t>
  </si>
  <si>
    <t>Lintel</t>
  </si>
  <si>
    <r>
      <t>Providing &amp; filling</t>
    </r>
    <r>
      <rPr>
        <b/>
        <sz val="10"/>
        <rFont val="Arial Narrow"/>
        <family val="2"/>
      </rPr>
      <t xml:space="preserve"> boulders &amp; sand</t>
    </r>
    <r>
      <rPr>
        <sz val="10"/>
        <rFont val="Arial Narrow"/>
        <family val="2"/>
      </rPr>
      <t xml:space="preserve"> below flooring, at foundation &amp; similar works using approved quality stone boulders of 200mm &amp; down size and course sand including hand packing, watering, consolidating etc. complete as per directions.</t>
    </r>
  </si>
  <si>
    <r>
      <t>Providing and fixing</t>
    </r>
    <r>
      <rPr>
        <b/>
        <sz val="10"/>
        <rFont val="Arial Narrow"/>
        <family val="2"/>
      </rPr>
      <t xml:space="preserve"> centering, shuttering </t>
    </r>
    <r>
      <rPr>
        <sz val="10"/>
        <rFont val="Arial Narrow"/>
        <family val="2"/>
      </rPr>
      <t>&amp; formwork of steel / ply  for RCC works as per details.</t>
    </r>
  </si>
  <si>
    <t>New earth</t>
  </si>
  <si>
    <t>Boulder packing</t>
  </si>
  <si>
    <t>P.C.C. (1:4:8):</t>
  </si>
  <si>
    <t>P.C.C. (1:2:4)</t>
  </si>
  <si>
    <t>Plinth beam</t>
  </si>
  <si>
    <t>HYSD Steel</t>
  </si>
  <si>
    <t xml:space="preserve">Aluminium window &amp; ventilators </t>
  </si>
  <si>
    <t>M.S.Grill</t>
  </si>
  <si>
    <t>Inside wall plastering</t>
  </si>
  <si>
    <t xml:space="preserve">Ceramic flooring </t>
  </si>
  <si>
    <t>Ceramic Daddoing</t>
  </si>
  <si>
    <t>Anit fungal paint</t>
  </si>
  <si>
    <t>Sqm</t>
  </si>
  <si>
    <t>Column</t>
  </si>
  <si>
    <t>Rmt.</t>
  </si>
  <si>
    <t xml:space="preserve">Column </t>
  </si>
  <si>
    <t>Ground floor:</t>
  </si>
  <si>
    <t>First floor:</t>
  </si>
  <si>
    <t>Rmt</t>
  </si>
  <si>
    <r>
      <t>For</t>
    </r>
    <r>
      <rPr>
        <b/>
        <sz val="10"/>
        <rFont val="Arial Narrow"/>
        <family val="2"/>
      </rPr>
      <t xml:space="preserve"> RCC Chejja </t>
    </r>
    <r>
      <rPr>
        <sz val="10"/>
        <rFont val="Arial Narrow"/>
        <family val="2"/>
      </rPr>
      <t>75mm thick including making drip moulds, waterproof plastering on top etc complete:</t>
    </r>
  </si>
  <si>
    <r>
      <t>For</t>
    </r>
    <r>
      <rPr>
        <b/>
        <sz val="10"/>
        <rFont val="Arial Narrow"/>
        <family val="2"/>
      </rPr>
      <t xml:space="preserve"> Slab:</t>
    </r>
  </si>
  <si>
    <t>Ground Floor:</t>
  </si>
  <si>
    <t>First Floor:</t>
  </si>
  <si>
    <t>Beam</t>
  </si>
  <si>
    <t xml:space="preserve">Beam </t>
  </si>
  <si>
    <t>PVC Door frame</t>
  </si>
  <si>
    <t>Kg</t>
  </si>
  <si>
    <r>
      <t>For</t>
    </r>
    <r>
      <rPr>
        <b/>
        <sz val="10"/>
        <rFont val="Arial Narrow"/>
        <family val="2"/>
      </rPr>
      <t xml:space="preserve"> Slab edges:</t>
    </r>
  </si>
  <si>
    <t>Emergency door</t>
  </si>
  <si>
    <t>Outternal plaster area:</t>
  </si>
  <si>
    <t>Outside Plastering:</t>
  </si>
  <si>
    <t>70% of Column Pit:</t>
  </si>
  <si>
    <r>
      <t xml:space="preserve">For </t>
    </r>
    <r>
      <rPr>
        <b/>
        <sz val="10"/>
        <rFont val="Arial Narrow"/>
        <family val="2"/>
      </rPr>
      <t>column footing:</t>
    </r>
  </si>
  <si>
    <t>Prdestal</t>
  </si>
  <si>
    <t>Upto plinth</t>
  </si>
  <si>
    <t>Above plinth</t>
  </si>
  <si>
    <t>Column Footing</t>
  </si>
  <si>
    <t>230 Brick masonry:</t>
  </si>
  <si>
    <t>Less openings:</t>
  </si>
  <si>
    <t>Vitrified Daddoing</t>
  </si>
  <si>
    <r>
      <t>AT</t>
    </r>
    <r>
      <rPr>
        <b/>
        <sz val="14"/>
        <rFont val="Arial Narrow"/>
        <family val="2"/>
      </rPr>
      <t xml:space="preserve"> KAKINADA, AP</t>
    </r>
    <r>
      <rPr>
        <sz val="14"/>
        <rFont val="Arial Narrow"/>
        <family val="2"/>
      </rPr>
      <t>.</t>
    </r>
  </si>
  <si>
    <t>Earthwork excavation : Up to 1.50 m dept</t>
  </si>
  <si>
    <t>Earthwork excavation : above 1.50 m dept to  3.00 m</t>
  </si>
  <si>
    <t>Availble Earth</t>
  </si>
  <si>
    <t>Footing</t>
  </si>
  <si>
    <t>Wet Kit:</t>
  </si>
  <si>
    <t>Slab:</t>
  </si>
  <si>
    <t>Less:</t>
  </si>
  <si>
    <t>Chejja:</t>
  </si>
  <si>
    <t>Facia:</t>
  </si>
  <si>
    <t>RCC wall:</t>
  </si>
  <si>
    <t>slab</t>
  </si>
  <si>
    <t>Rcc Wall</t>
  </si>
  <si>
    <t xml:space="preserve">Chejja </t>
  </si>
  <si>
    <t>Facia</t>
  </si>
  <si>
    <t>Staircase</t>
  </si>
  <si>
    <t>Plinth Beam</t>
  </si>
  <si>
    <t>Slab</t>
  </si>
  <si>
    <t>parapet:</t>
  </si>
  <si>
    <t>ED1</t>
  </si>
  <si>
    <t>D4</t>
  </si>
  <si>
    <t>D5</t>
  </si>
  <si>
    <t>D9</t>
  </si>
  <si>
    <t>D10</t>
  </si>
  <si>
    <t>D11</t>
  </si>
  <si>
    <t>W1</t>
  </si>
  <si>
    <t>W2</t>
  </si>
  <si>
    <t>W3</t>
  </si>
  <si>
    <t>V1</t>
  </si>
  <si>
    <t>V2</t>
  </si>
  <si>
    <t>V3</t>
  </si>
  <si>
    <t>V5</t>
  </si>
  <si>
    <t>V6</t>
  </si>
  <si>
    <t>V7</t>
  </si>
  <si>
    <t>FGD1</t>
  </si>
  <si>
    <t>Stainless steel railing:</t>
  </si>
  <si>
    <t xml:space="preserve"> @10 Kg/Sqm</t>
  </si>
  <si>
    <t>Ceiling plastering:</t>
  </si>
  <si>
    <t>Store</t>
  </si>
  <si>
    <t>Air lock</t>
  </si>
  <si>
    <t>vegstore</t>
  </si>
  <si>
    <t>Food lab</t>
  </si>
  <si>
    <t>Cold store</t>
  </si>
  <si>
    <t>Granite flooring for staircase</t>
  </si>
  <si>
    <t>Vitrified flooring</t>
  </si>
  <si>
    <t>Plastic emulsion paint</t>
  </si>
  <si>
    <t>Chejja area</t>
  </si>
  <si>
    <t xml:space="preserve">Anti termite treatment </t>
  </si>
  <si>
    <t>Centering &amp; Shuttering</t>
  </si>
  <si>
    <t>Slab edges:</t>
  </si>
  <si>
    <t>115th. partion wall:</t>
  </si>
  <si>
    <t>M.S. door</t>
  </si>
  <si>
    <t>PVC Door shutter</t>
  </si>
  <si>
    <r>
      <t xml:space="preserve">PROPOSED </t>
    </r>
    <r>
      <rPr>
        <b/>
        <sz val="14"/>
        <rFont val="Arial Narrow"/>
        <family val="2"/>
      </rPr>
      <t>'KITCHEN FACILITY'</t>
    </r>
  </si>
  <si>
    <t>Chejja</t>
  </si>
  <si>
    <t xml:space="preserve">   ----- Do ---- For 1.50 m  to 3.00 m dept</t>
  </si>
  <si>
    <t>Rainwater pipe</t>
  </si>
  <si>
    <r>
      <t>ESTIMATE:</t>
    </r>
    <r>
      <rPr>
        <b/>
        <i/>
        <sz val="14"/>
        <rFont val="Arial Narrow"/>
        <family val="2"/>
      </rPr>
      <t xml:space="preserve">  </t>
    </r>
  </si>
  <si>
    <r>
      <t xml:space="preserve">FOR </t>
    </r>
    <r>
      <rPr>
        <b/>
        <sz val="14"/>
        <rFont val="Arial Narrow"/>
        <family val="2"/>
      </rPr>
      <t>THE</t>
    </r>
    <r>
      <rPr>
        <sz val="14"/>
        <rFont val="Arial Narrow"/>
        <family val="2"/>
      </rPr>
      <t xml:space="preserve"> </t>
    </r>
    <r>
      <rPr>
        <b/>
        <sz val="14"/>
        <rFont val="Arial Narrow"/>
        <family val="2"/>
      </rPr>
      <t>AKSHAYAPATRA FOUNDATION,</t>
    </r>
  </si>
  <si>
    <t>DETAILED MEASUREMENTS: MAIN KITCHEN</t>
  </si>
  <si>
    <t>M 25 Grade Concrete</t>
  </si>
  <si>
    <t>Lounge</t>
  </si>
  <si>
    <t xml:space="preserve"> Rate Analysis</t>
  </si>
  <si>
    <t>SI.No.</t>
  </si>
  <si>
    <t>Description</t>
  </si>
  <si>
    <t>Item.Code</t>
  </si>
  <si>
    <t>S.R. Rate.</t>
  </si>
  <si>
    <t>Remarks</t>
  </si>
  <si>
    <t>(7+8)</t>
  </si>
  <si>
    <t>Excavation for foundation in all kinds of soil including boulders upto 0.30 mdiameter for foundations and depositing on bank  works and placing the excavated soil neatly in dump area or disposing off the same as directed etc., complete with initial lead upto 1 km and all lifts.</t>
  </si>
  <si>
    <t>92/2.8.1</t>
  </si>
  <si>
    <t xml:space="preserve">  ---- do --- For 1.50  to 3.00 m dept</t>
  </si>
  <si>
    <t xml:space="preserve">Available excavated earth </t>
  </si>
  <si>
    <t>95/2.25</t>
  </si>
  <si>
    <t xml:space="preserve"> New earth/Murrum,</t>
  </si>
  <si>
    <t>95/2.25(a)</t>
  </si>
  <si>
    <t>Collection of murrum</t>
  </si>
  <si>
    <t>325/16.3.10</t>
  </si>
  <si>
    <t>Wet Mix Macadam</t>
  </si>
  <si>
    <t>339/16.79</t>
  </si>
  <si>
    <t xml:space="preserve">Boulders &amp; sand below flooring, at foundation </t>
  </si>
  <si>
    <t>482/23.5</t>
  </si>
  <si>
    <t>P.C.C (1:4:8)</t>
  </si>
  <si>
    <t>107/4.1.8</t>
  </si>
  <si>
    <t xml:space="preserve">P.C.C (1:2:4) </t>
  </si>
  <si>
    <t>107/4.1.3</t>
  </si>
  <si>
    <r>
      <rPr>
        <b/>
        <sz val="10"/>
        <rFont val="Arial Narrow"/>
        <family val="2"/>
      </rPr>
      <t>Design Mix Concrete</t>
    </r>
    <r>
      <rPr>
        <sz val="10"/>
        <rFont val="Arial Narrow"/>
        <family val="2"/>
      </rPr>
      <t xml:space="preserve"> </t>
    </r>
  </si>
  <si>
    <t>M25 Concrete:</t>
  </si>
  <si>
    <t>For Column Footings with M25:</t>
  </si>
  <si>
    <t>100/5.33.1.1</t>
  </si>
  <si>
    <t xml:space="preserve">For Columns, rectangular / square / circular / L shape with M25: </t>
  </si>
  <si>
    <r>
      <t xml:space="preserve">For </t>
    </r>
    <r>
      <rPr>
        <b/>
        <sz val="10"/>
        <rFont val="Arial Narrow"/>
        <family val="2"/>
      </rPr>
      <t xml:space="preserve">Plinth Beam </t>
    </r>
    <r>
      <rPr>
        <sz val="10"/>
        <rFont val="Arial Narrow"/>
        <family val="2"/>
      </rPr>
      <t>with M25:</t>
    </r>
  </si>
  <si>
    <r>
      <t>For</t>
    </r>
    <r>
      <rPr>
        <b/>
        <sz val="10"/>
        <rFont val="Arial Narrow"/>
        <family val="2"/>
      </rPr>
      <t xml:space="preserve"> Roof beam </t>
    </r>
    <r>
      <rPr>
        <sz val="10"/>
        <rFont val="Arial Narrow"/>
        <family val="2"/>
      </rPr>
      <t>with M25:</t>
    </r>
  </si>
  <si>
    <t>For RCC Wall with M25:</t>
  </si>
  <si>
    <t>M30 Concrete:</t>
  </si>
  <si>
    <t xml:space="preserve">For Columns, rectangular / square / circular / L shape with M30: </t>
  </si>
  <si>
    <t xml:space="preserve">129/5.33.2.2 </t>
  </si>
  <si>
    <t>For Plinth Beam with M30:</t>
  </si>
  <si>
    <t>For Roof beam with M30:</t>
  </si>
  <si>
    <t>For Lintel with M30:</t>
  </si>
  <si>
    <t>For Staircase with M30:</t>
  </si>
  <si>
    <t>For Slab with M30:</t>
  </si>
  <si>
    <t>RCC Coping</t>
  </si>
  <si>
    <t>For RCC Wall with M30:</t>
  </si>
  <si>
    <t>For RCC Chejja 75mm thick including making drip moulds, waterproof plastering on top etc complete:</t>
  </si>
  <si>
    <t>121/5.3</t>
  </si>
  <si>
    <t xml:space="preserve">RCM facia 5cm thick in CM (1:3) </t>
  </si>
  <si>
    <t>123/5.8</t>
  </si>
  <si>
    <t>Centering and shuttering</t>
  </si>
  <si>
    <t>For Footings:</t>
  </si>
  <si>
    <t>123/5.9.1</t>
  </si>
  <si>
    <t>For Pedastral:</t>
  </si>
  <si>
    <t>For Columns</t>
  </si>
  <si>
    <t>123/5.9.6</t>
  </si>
  <si>
    <t>For Plinth Beam:</t>
  </si>
  <si>
    <t>123/5.9.5</t>
  </si>
  <si>
    <t>For Lintel:</t>
  </si>
  <si>
    <t>For Staircase:</t>
  </si>
  <si>
    <t>123/5.9.7</t>
  </si>
  <si>
    <t>For Slab:</t>
  </si>
  <si>
    <t>123/5.9.3</t>
  </si>
  <si>
    <t>For Slab edges:</t>
  </si>
  <si>
    <t>123/5.9.16.1</t>
  </si>
  <si>
    <t>For RCC Wall</t>
  </si>
  <si>
    <t>123/5.9.2</t>
  </si>
  <si>
    <t xml:space="preserve">For RCC Chejja </t>
  </si>
  <si>
    <t>124/5.9.19</t>
  </si>
  <si>
    <t xml:space="preserve"> T.M.T. steel reinforcement (Fe-500D) </t>
  </si>
  <si>
    <t>127/5.22.6</t>
  </si>
  <si>
    <t xml:space="preserve">Coursed stone masonry in foundation </t>
  </si>
  <si>
    <t>149/7.6.1</t>
  </si>
  <si>
    <t>230mm thick brick wall :</t>
  </si>
  <si>
    <t>115mm thick brick wall</t>
  </si>
  <si>
    <t>140/6.13.2</t>
  </si>
  <si>
    <t xml:space="preserve">Supply &amp; Fixing of Powder Coated Mild Steel doors, frames &amp; shutters </t>
  </si>
  <si>
    <t xml:space="preserve"> M.S. door with frame</t>
  </si>
  <si>
    <t>224/10.5.1</t>
  </si>
  <si>
    <t>Flush door shutters including frame</t>
  </si>
  <si>
    <t>186/9.20.2</t>
  </si>
  <si>
    <t>Set</t>
  </si>
  <si>
    <t>UPVC Frame</t>
  </si>
  <si>
    <t>207/9.143</t>
  </si>
  <si>
    <t>PVC shutters</t>
  </si>
  <si>
    <t>207/9.144</t>
  </si>
  <si>
    <t>Aluminium Fabrication work</t>
  </si>
  <si>
    <t>460/21.1.1.2</t>
  </si>
  <si>
    <t>4mm th. Float glass</t>
  </si>
  <si>
    <t>461/21.3.1</t>
  </si>
  <si>
    <t>S.S.Fly Mesh</t>
  </si>
  <si>
    <t>228/10.29.2</t>
  </si>
  <si>
    <t xml:space="preserve">M.S. grills </t>
  </si>
  <si>
    <t>227/10.25.2</t>
  </si>
  <si>
    <t>Steel windows &amp; ventilators</t>
  </si>
  <si>
    <t>226/10.15.1</t>
  </si>
  <si>
    <t>4mm th. Glass</t>
  </si>
  <si>
    <t>228/10.30.1</t>
  </si>
  <si>
    <t>Rolling shutters</t>
  </si>
  <si>
    <t>224/10.6.1</t>
  </si>
  <si>
    <t xml:space="preserve">S.S. railing </t>
  </si>
  <si>
    <t>227/10.28</t>
  </si>
  <si>
    <t>Ceilings plastering</t>
  </si>
  <si>
    <t>278/13.7.1</t>
  </si>
  <si>
    <t>279/13.9.2</t>
  </si>
  <si>
    <t>Outside plastering</t>
  </si>
  <si>
    <t>279/13.12</t>
  </si>
  <si>
    <r>
      <t>Providing &amp; rounding corners of beam-slab, wall/beam, in c.m. 1:3, 75X75mm size as per specifactions &amp; details.</t>
    </r>
    <r>
      <rPr>
        <b/>
        <sz val="10"/>
        <rFont val="Arial Narrow"/>
        <family val="2"/>
      </rPr>
      <t/>
    </r>
  </si>
  <si>
    <t xml:space="preserve">Grooves patti </t>
  </si>
  <si>
    <t>280/13.28.2</t>
  </si>
  <si>
    <t>239/11.26.1</t>
  </si>
  <si>
    <t>vitrified tiles  flooring</t>
  </si>
  <si>
    <t>241/11.41.2</t>
  </si>
  <si>
    <t xml:space="preserve">Vitrified  tile daddoing </t>
  </si>
  <si>
    <t>243/11.46.2</t>
  </si>
  <si>
    <t xml:space="preserve"> ----- do ---- for  Vitrified skirting, 100mm high.</t>
  </si>
  <si>
    <t xml:space="preserve">  --- do ---- For Vitirified window cills</t>
  </si>
  <si>
    <t>246/11.56.1</t>
  </si>
  <si>
    <t xml:space="preserve">Granite staircase &amp; steps </t>
  </si>
  <si>
    <t xml:space="preserve">  --- do ---- For Granite window cills</t>
  </si>
  <si>
    <t>157/8.2.3.2</t>
  </si>
  <si>
    <t>Noising &amp; edge polishing of granite slabs</t>
  </si>
  <si>
    <t>239/11.24</t>
  </si>
  <si>
    <t>339/16.75 - 16.76</t>
  </si>
  <si>
    <t>Ceramic tiles flooring</t>
  </si>
  <si>
    <t>240/11.37</t>
  </si>
  <si>
    <t>Ceramic tiles  dadooing</t>
  </si>
  <si>
    <t>241/11.37A</t>
  </si>
  <si>
    <t xml:space="preserve">CC Flooring 40mm  thick </t>
  </si>
  <si>
    <t>235/11.3.1</t>
  </si>
  <si>
    <t xml:space="preserve">CC Flooring 62 thick </t>
  </si>
  <si>
    <t>235/11.5</t>
  </si>
  <si>
    <r>
      <t>P/F P.V.C.</t>
    </r>
    <r>
      <rPr>
        <b/>
        <sz val="10"/>
        <rFont val="Arial Narrow"/>
        <family val="2"/>
      </rPr>
      <t xml:space="preserve"> rainwater pipes </t>
    </r>
    <r>
      <rPr>
        <sz val="10"/>
        <rFont val="Arial Narrow"/>
        <family val="2"/>
      </rPr>
      <t>using 110 mm dia. P.V.C. pipes including necessary fittings and fixtures.</t>
    </r>
  </si>
  <si>
    <t>262/12.41.2</t>
  </si>
  <si>
    <t xml:space="preserve">Plastic emulsion paint </t>
  </si>
  <si>
    <t xml:space="preserve">Anti-fungal emulsion paint </t>
  </si>
  <si>
    <t>282/13.45.1</t>
  </si>
  <si>
    <t>Enamel paint</t>
  </si>
  <si>
    <t>284/13.62.1</t>
  </si>
  <si>
    <t xml:space="preserve">waterproofing treatment </t>
  </si>
  <si>
    <t>471/22.7.1</t>
  </si>
  <si>
    <t>Anti-Termite Treatment,</t>
  </si>
  <si>
    <t>97/2.35.3</t>
  </si>
  <si>
    <t>M.S.Gate</t>
  </si>
  <si>
    <t xml:space="preserve">M.S. Tubular Trusses, Purlines, bracings etc </t>
  </si>
  <si>
    <t>226/10.16.1</t>
  </si>
  <si>
    <t xml:space="preserve">Colour coated G.I. Roofing Sheets </t>
  </si>
  <si>
    <t>264/12.50</t>
  </si>
  <si>
    <t>Gutter</t>
  </si>
  <si>
    <t>265/12.51.6</t>
  </si>
  <si>
    <t xml:space="preserve"> ----- do --- for Ridges</t>
  </si>
  <si>
    <t>264/12.51.1</t>
  </si>
  <si>
    <t xml:space="preserve"> ----- do --- for Flashings</t>
  </si>
  <si>
    <t>265/12.51.2</t>
  </si>
  <si>
    <t>M.S.Facrication works</t>
  </si>
  <si>
    <t>Nos.</t>
  </si>
  <si>
    <t>Kerb stone</t>
  </si>
  <si>
    <t>338/16.69</t>
  </si>
  <si>
    <t>Providing &amp; fixing pre-cast RCC V-Gutter, 600 deep, 600-450 wide including fixing on slope, cement pointing etc., complete.</t>
  </si>
  <si>
    <t>Inter locking pavars, 80mm th.</t>
  </si>
  <si>
    <t>342/16.91.2</t>
  </si>
  <si>
    <t>NP2 pipe</t>
  </si>
  <si>
    <t>300mm dia</t>
  </si>
  <si>
    <t>438/19.6.4</t>
  </si>
  <si>
    <t>450mm dia</t>
  </si>
  <si>
    <r>
      <t>For</t>
    </r>
    <r>
      <rPr>
        <b/>
        <sz val="10"/>
        <rFont val="Arial Narrow"/>
        <family val="2"/>
      </rPr>
      <t xml:space="preserve"> Beam </t>
    </r>
    <r>
      <rPr>
        <sz val="10"/>
        <rFont val="Arial Narrow"/>
        <family val="2"/>
      </rPr>
      <t>with M25:</t>
    </r>
  </si>
  <si>
    <r>
      <t>For</t>
    </r>
    <r>
      <rPr>
        <b/>
        <sz val="10"/>
        <rFont val="Arial Narrow"/>
        <family val="2"/>
      </rPr>
      <t xml:space="preserve"> Lintel </t>
    </r>
    <r>
      <rPr>
        <sz val="10"/>
        <rFont val="Arial Narrow"/>
        <family val="2"/>
      </rPr>
      <t>with M25:</t>
    </r>
  </si>
  <si>
    <r>
      <t xml:space="preserve">For </t>
    </r>
    <r>
      <rPr>
        <b/>
        <sz val="10"/>
        <rFont val="Arial Narrow"/>
        <family val="2"/>
      </rPr>
      <t xml:space="preserve">Staircase </t>
    </r>
    <r>
      <rPr>
        <sz val="10"/>
        <rFont val="Arial Narrow"/>
        <family val="2"/>
      </rPr>
      <t>with M25:</t>
    </r>
  </si>
  <si>
    <r>
      <t xml:space="preserve">For </t>
    </r>
    <r>
      <rPr>
        <b/>
        <sz val="10"/>
        <rFont val="Arial Narrow"/>
        <family val="2"/>
      </rPr>
      <t>Flat Slab</t>
    </r>
    <r>
      <rPr>
        <sz val="10"/>
        <rFont val="Arial Narrow"/>
        <family val="2"/>
      </rPr>
      <t xml:space="preserve"> with M25:</t>
    </r>
  </si>
  <si>
    <r>
      <t xml:space="preserve">For </t>
    </r>
    <r>
      <rPr>
        <b/>
        <sz val="10"/>
        <rFont val="Arial Narrow"/>
        <family val="2"/>
      </rPr>
      <t xml:space="preserve">Slab </t>
    </r>
    <r>
      <rPr>
        <sz val="10"/>
        <rFont val="Arial Narrow"/>
        <family val="2"/>
      </rPr>
      <t>with M25:</t>
    </r>
  </si>
  <si>
    <r>
      <t xml:space="preserve">For </t>
    </r>
    <r>
      <rPr>
        <b/>
        <sz val="10"/>
        <rFont val="Arial Narrow"/>
        <family val="2"/>
      </rPr>
      <t>RCC Chajja</t>
    </r>
    <r>
      <rPr>
        <sz val="10"/>
        <rFont val="Arial Narrow"/>
        <family val="2"/>
      </rPr>
      <t xml:space="preserve"> with M25:</t>
    </r>
  </si>
  <si>
    <t>For beam:</t>
  </si>
  <si>
    <t>30mm th. Leather finish granite flooring</t>
  </si>
  <si>
    <r>
      <t xml:space="preserve">DETAILED MEASUREMENTS: </t>
    </r>
    <r>
      <rPr>
        <b/>
        <sz val="10"/>
        <rFont val="Arial Narrow"/>
        <family val="2"/>
      </rPr>
      <t>Boiler House.</t>
    </r>
  </si>
  <si>
    <r>
      <rPr>
        <sz val="10"/>
        <rFont val="Arial Narrow"/>
        <family val="2"/>
      </rPr>
      <t xml:space="preserve">  ---- do ---</t>
    </r>
    <r>
      <rPr>
        <b/>
        <sz val="10"/>
        <rFont val="Arial Narrow"/>
        <family val="2"/>
      </rPr>
      <t xml:space="preserve"> For M 25 Grade Concrete</t>
    </r>
  </si>
  <si>
    <t>M.S.Truss :</t>
  </si>
  <si>
    <t xml:space="preserve"> @ 12 Kg/Sqm</t>
  </si>
  <si>
    <t>Misc</t>
  </si>
  <si>
    <t>G.I. Sheet</t>
  </si>
  <si>
    <t xml:space="preserve"> Sheet gutter</t>
  </si>
  <si>
    <t>Ridges</t>
  </si>
  <si>
    <t>Flashings</t>
  </si>
  <si>
    <t>cement concrete flooring 1:2:4 ,62 mm thk</t>
  </si>
  <si>
    <t>Inter locking Pavers</t>
  </si>
  <si>
    <r>
      <t xml:space="preserve">ESTIMATE: </t>
    </r>
    <r>
      <rPr>
        <b/>
        <sz val="14"/>
        <rFont val="Arial Narrow"/>
        <family val="2"/>
      </rPr>
      <t>BOILER HOUSE</t>
    </r>
  </si>
  <si>
    <t>DETAILED MEASUREMENTS: Compond wall &amp; Gate</t>
  </si>
  <si>
    <t>Earthwork excavation:</t>
  </si>
  <si>
    <t/>
  </si>
  <si>
    <t>70% of excavation:</t>
  </si>
  <si>
    <t xml:space="preserve">  </t>
  </si>
  <si>
    <t>Available arth</t>
  </si>
  <si>
    <t xml:space="preserve">PCC 1:4:8 </t>
  </si>
  <si>
    <t xml:space="preserve">PCC 1:2:4 </t>
  </si>
  <si>
    <t>M25 Grade concrete</t>
  </si>
  <si>
    <t>Column footings</t>
  </si>
  <si>
    <t>Plinth beam:</t>
  </si>
  <si>
    <t>Roof beam:</t>
  </si>
  <si>
    <t>Centring &amp; Shuttering</t>
  </si>
  <si>
    <t>Column footing</t>
  </si>
  <si>
    <t>K.g.</t>
  </si>
  <si>
    <t>M.S.Gate :</t>
  </si>
  <si>
    <t xml:space="preserve"> @ 90 Kg/Sqm</t>
  </si>
  <si>
    <r>
      <t xml:space="preserve">E S T I M A T E : </t>
    </r>
    <r>
      <rPr>
        <b/>
        <i/>
        <sz val="14"/>
        <rFont val="Arial Narrow"/>
        <family val="2"/>
      </rPr>
      <t>COMPOUND WALL &amp; GATE .</t>
    </r>
  </si>
  <si>
    <t>DETAILED MEASUREMENTS: Security Block.</t>
  </si>
  <si>
    <t>Earthwork Excavation up to 1.50 m dept</t>
  </si>
  <si>
    <t>Security:</t>
  </si>
  <si>
    <t>70% of column pit</t>
  </si>
  <si>
    <t>Filling  with Available earth</t>
  </si>
  <si>
    <t>Filling  new earth</t>
  </si>
  <si>
    <t xml:space="preserve">Security </t>
  </si>
  <si>
    <t>Floor bed:Security</t>
  </si>
  <si>
    <t>Parapet</t>
  </si>
  <si>
    <t>Security</t>
  </si>
  <si>
    <t>Beams:</t>
  </si>
  <si>
    <t>Slab Edges:</t>
  </si>
  <si>
    <t>230 thk brick masonry :</t>
  </si>
  <si>
    <t>Less opening: D1</t>
  </si>
  <si>
    <t>M.S. Door</t>
  </si>
  <si>
    <t>Ceiling plastering</t>
  </si>
  <si>
    <t>Less opening</t>
  </si>
  <si>
    <t>Out side wall plastering</t>
  </si>
  <si>
    <t>C.C. flooring 40mm th.</t>
  </si>
  <si>
    <t>Ceiling plastering qty</t>
  </si>
  <si>
    <t>Inside plastering qty</t>
  </si>
  <si>
    <t>Outside plastering qty</t>
  </si>
  <si>
    <t>WPC</t>
  </si>
  <si>
    <t xml:space="preserve">(c) After two days of proper curing, applying a second coat of cement slurry admixed with proprietary water proofing compound. (D) Finishing the surface with 20mm thick jointless cement mortar of mix 1:4 admixed  with proprietary water proofing compound and finally finishing the surface with trowel and neat cement slurry and making of 300x300 mm square. (e) The whole terrace so finished shall be flooded with water for a minimum period of two weeks for curing and for final test including cost of materials, labour complete as per specifications.  </t>
  </si>
  <si>
    <t>Area of Paver Road:</t>
  </si>
  <si>
    <t>Area of Conc Road:</t>
  </si>
  <si>
    <t>Area Of Inter-lock pavers:</t>
  </si>
  <si>
    <r>
      <t xml:space="preserve">Earth work </t>
    </r>
    <r>
      <rPr>
        <b/>
        <sz val="10"/>
        <rFont val="Arial Narrow"/>
        <family val="2"/>
      </rPr>
      <t xml:space="preserve">excavation </t>
    </r>
  </si>
  <si>
    <t>Storm water drain</t>
  </si>
  <si>
    <t>RR masonry</t>
  </si>
  <si>
    <t>Filling with Available earth:</t>
  </si>
  <si>
    <t>Earthwork filling: New earth:</t>
  </si>
  <si>
    <t>30 % wall</t>
  </si>
  <si>
    <t>x</t>
  </si>
  <si>
    <t>Site filling</t>
  </si>
  <si>
    <t xml:space="preserve">P/L  P.C.C (1:4:8) </t>
  </si>
  <si>
    <t xml:space="preserve">P/L  P.C.C (1:2:4) </t>
  </si>
  <si>
    <t xml:space="preserve">T.M.T. steel reinforcement </t>
  </si>
  <si>
    <t>For V.D.F.Flooring</t>
  </si>
  <si>
    <t xml:space="preserve">  @</t>
  </si>
  <si>
    <t>For Gutter</t>
  </si>
  <si>
    <t>RR Masonry in c m 1:6</t>
  </si>
  <si>
    <t xml:space="preserve">VDF Flooring, 150mm thick </t>
  </si>
  <si>
    <t xml:space="preserve">Kerb stones </t>
  </si>
  <si>
    <t>RCC V Gutter</t>
  </si>
  <si>
    <t>Interlocking pavers</t>
  </si>
  <si>
    <t xml:space="preserve">Hume pipe </t>
  </si>
  <si>
    <t>300 dia</t>
  </si>
  <si>
    <t>450 dia</t>
  </si>
  <si>
    <t>DETAILED MEASUREMENTS: Utility Block.</t>
  </si>
  <si>
    <t xml:space="preserve"> @ 10 Kg/Sqm</t>
  </si>
  <si>
    <t>GI  Sheet</t>
  </si>
  <si>
    <t xml:space="preserve">cement concrete flooring 1:2:4 </t>
  </si>
  <si>
    <r>
      <t>ESTIMATE:</t>
    </r>
    <r>
      <rPr>
        <b/>
        <sz val="14"/>
        <rFont val="Arial Narrow"/>
        <family val="2"/>
      </rPr>
      <t xml:space="preserve">  </t>
    </r>
    <r>
      <rPr>
        <b/>
        <i/>
        <sz val="14"/>
        <rFont val="Arial Narrow"/>
        <family val="2"/>
      </rPr>
      <t>UTILITY BLOCK</t>
    </r>
  </si>
  <si>
    <r>
      <t xml:space="preserve">FOR </t>
    </r>
    <r>
      <rPr>
        <b/>
        <sz val="14"/>
        <rFont val="Arial Narrow"/>
        <family val="2"/>
      </rPr>
      <t>THE</t>
    </r>
    <r>
      <rPr>
        <sz val="14"/>
        <rFont val="Arial Narrow"/>
        <family val="2"/>
      </rPr>
      <t xml:space="preserve">  </t>
    </r>
    <r>
      <rPr>
        <b/>
        <sz val="14"/>
        <rFont val="Arial Narrow"/>
        <family val="2"/>
      </rPr>
      <t>AKSHAYAPATRA FOUNDATION,</t>
    </r>
  </si>
  <si>
    <r>
      <t>ESTIMATE:</t>
    </r>
    <r>
      <rPr>
        <b/>
        <i/>
        <sz val="14"/>
        <rFont val="Arial Narrow"/>
        <family val="2"/>
      </rPr>
      <t xml:space="preserve"> SITE DEVELOPMENT</t>
    </r>
  </si>
  <si>
    <t>a) 300 dia</t>
  </si>
  <si>
    <t>b) 450 dia</t>
  </si>
  <si>
    <t xml:space="preserve"> </t>
  </si>
  <si>
    <t xml:space="preserve"> @ 7.5 Kg/Sqm</t>
  </si>
  <si>
    <t>Glazing for Aluminium windows, ventilator &amp; partition</t>
  </si>
  <si>
    <t>SS fly mesh</t>
  </si>
  <si>
    <t>Vitrified Skirting using approved adhesive :</t>
  </si>
  <si>
    <t>Grill Qty of Win-Vent</t>
  </si>
  <si>
    <t xml:space="preserve"> X</t>
  </si>
  <si>
    <t>Kgs.</t>
  </si>
  <si>
    <t>A.</t>
  </si>
  <si>
    <t>Civil work:</t>
  </si>
  <si>
    <t>Add, GST:</t>
  </si>
  <si>
    <t>Total. A</t>
  </si>
  <si>
    <t>Total. A. Civil Work:</t>
  </si>
  <si>
    <t>Say:</t>
  </si>
  <si>
    <t>Set.</t>
  </si>
  <si>
    <t>Nosing and edge rounding</t>
  </si>
  <si>
    <t xml:space="preserve"> Granite window cills</t>
  </si>
  <si>
    <t>Ceiling plaster area:</t>
  </si>
  <si>
    <t>Pedestal</t>
  </si>
  <si>
    <t>M 25 Grade concrete</t>
  </si>
  <si>
    <t>Pile</t>
  </si>
  <si>
    <r>
      <t xml:space="preserve">P/L  </t>
    </r>
    <r>
      <rPr>
        <b/>
        <sz val="10"/>
        <rFont val="Arial Narrow"/>
        <family val="2"/>
      </rPr>
      <t>P.C.C (1:4:8)</t>
    </r>
    <r>
      <rPr>
        <sz val="10"/>
        <rFont val="Arial Narrow"/>
        <family val="2"/>
      </rPr>
      <t xml:space="preserve"> using granite or basalt or trap metal concrete using 40mm &amp; down size machine crushed metal and clean river sand for foundation, floor beds &amp; other similar works laid in 15/10 cms thick layers &amp; well compacted including machine mixing, curing, shuttering wherever required etc., complete.</t>
    </r>
  </si>
  <si>
    <t>Flush door shutters</t>
  </si>
  <si>
    <t>WPC Frame</t>
  </si>
  <si>
    <t>542/26.86.6</t>
  </si>
  <si>
    <t>Providing and fixing ISI marked flush door shutters conforming to IS : 2202 (Part I) decorative type, core of block board construction with frame of 1st class hard wood and well matched teakwood lipping, 1mm thick approved make &amp; shade laminates (single or double colour) on both faces of shutters. 30 mm thick including ISI marked Stainless Steel butt hinges with necessary screws, handles, towe bolts, door lock, etc., as per details. (including cost of fixtures).</t>
  </si>
  <si>
    <t>Wall putty</t>
  </si>
  <si>
    <t>Mass Cutting</t>
  </si>
  <si>
    <t>`</t>
  </si>
  <si>
    <t>Floor</t>
  </si>
  <si>
    <t>Footing Tie  Beam</t>
  </si>
  <si>
    <t>Y1-Y2</t>
  </si>
  <si>
    <t>Y2-Y3</t>
  </si>
  <si>
    <t>Y3-Y4</t>
  </si>
  <si>
    <t>Y4-Y5</t>
  </si>
  <si>
    <t>Y5-Y6</t>
  </si>
  <si>
    <t>Y6-Y7</t>
  </si>
  <si>
    <t>Y7-Y8</t>
  </si>
  <si>
    <t>Y8-Y9</t>
  </si>
  <si>
    <t>Y9-Y10</t>
  </si>
  <si>
    <t>Y10-Y11</t>
  </si>
  <si>
    <t>X1-X2</t>
  </si>
  <si>
    <t>X2-X3</t>
  </si>
  <si>
    <t>X3-X4</t>
  </si>
  <si>
    <t>X4-X5</t>
  </si>
  <si>
    <t>X5-X6</t>
  </si>
  <si>
    <t>X6-X7</t>
  </si>
  <si>
    <t>X7-X8</t>
  </si>
  <si>
    <t>X8-X9</t>
  </si>
  <si>
    <t>X9-X10</t>
  </si>
  <si>
    <t>V4</t>
  </si>
  <si>
    <t>Mezzanine Floor:</t>
  </si>
  <si>
    <t>W3A</t>
  </si>
  <si>
    <t>W7</t>
  </si>
  <si>
    <t>V1A</t>
  </si>
  <si>
    <t>OH Tank</t>
  </si>
  <si>
    <t xml:space="preserve">   @ 2.150m Lvl</t>
  </si>
  <si>
    <t xml:space="preserve">   @ 4.80 m Lvl</t>
  </si>
  <si>
    <t xml:space="preserve">   @7.30 m Lvl</t>
  </si>
  <si>
    <t xml:space="preserve">   @ 8.30m Lvl</t>
  </si>
  <si>
    <t>MSD1</t>
  </si>
  <si>
    <t>GD1</t>
  </si>
  <si>
    <t>D2A</t>
  </si>
  <si>
    <t>W6</t>
  </si>
  <si>
    <t>RS4</t>
  </si>
  <si>
    <t>Partation Wall</t>
  </si>
  <si>
    <t>D7A</t>
  </si>
  <si>
    <t>Steps</t>
  </si>
  <si>
    <t>Head Room</t>
  </si>
  <si>
    <t>Terrace Floor:</t>
  </si>
  <si>
    <t>Wet Cooking</t>
  </si>
  <si>
    <t>Packing</t>
  </si>
  <si>
    <t>Vessel Store</t>
  </si>
  <si>
    <t>Vessel Wash</t>
  </si>
  <si>
    <t>UN-Loading</t>
  </si>
  <si>
    <t>Gas Bank</t>
  </si>
  <si>
    <t>Panel Room</t>
  </si>
  <si>
    <t>Rice-Dhal Day Store</t>
  </si>
  <si>
    <t>Prodn. Office</t>
  </si>
  <si>
    <t>Food Lab</t>
  </si>
  <si>
    <t>Provision Store</t>
  </si>
  <si>
    <t>Rice Wash</t>
  </si>
  <si>
    <t xml:space="preserve">Air Lock </t>
  </si>
  <si>
    <t>Pre-Preparation</t>
  </si>
  <si>
    <t>House Keeping</t>
  </si>
  <si>
    <t>Visitor's Toilet</t>
  </si>
  <si>
    <t>Vegetable Store</t>
  </si>
  <si>
    <t>Cold Store</t>
  </si>
  <si>
    <t>Attendance &amp; Uniform</t>
  </si>
  <si>
    <t>Hygiene Station</t>
  </si>
  <si>
    <t xml:space="preserve">L-Toilet </t>
  </si>
  <si>
    <t xml:space="preserve">G-Toilet </t>
  </si>
  <si>
    <t>Unloading Rice &amp; Dhal</t>
  </si>
  <si>
    <t>Vegetable de Bagging/ Wash</t>
  </si>
  <si>
    <t>Un-Loading Provision &amp; Veg</t>
  </si>
  <si>
    <t>Lounge Infront</t>
  </si>
  <si>
    <t>Beams</t>
  </si>
  <si>
    <t>Prodn Manager</t>
  </si>
  <si>
    <t xml:space="preserve">Toilet </t>
  </si>
  <si>
    <t>Hr-Finance-Purchase-Accounts</t>
  </si>
  <si>
    <t>Conference</t>
  </si>
  <si>
    <t>Pantry</t>
  </si>
  <si>
    <t>M-Toilet</t>
  </si>
  <si>
    <t>L-Toilet</t>
  </si>
  <si>
    <t>Staff Dining</t>
  </si>
  <si>
    <t>Work Station</t>
  </si>
  <si>
    <t>Multi-Purpose Hall</t>
  </si>
  <si>
    <t>Guest Room</t>
  </si>
  <si>
    <t>Dress</t>
  </si>
  <si>
    <t>3-Sharing Room</t>
  </si>
  <si>
    <t>Bath</t>
  </si>
  <si>
    <t>WC</t>
  </si>
  <si>
    <t>Dormitry</t>
  </si>
  <si>
    <t>Kitchen</t>
  </si>
  <si>
    <t>Dining</t>
  </si>
  <si>
    <t>Dormitory</t>
  </si>
  <si>
    <t>Toliet</t>
  </si>
  <si>
    <t>Balcony</t>
  </si>
  <si>
    <t>Wet Cooking/Packing</t>
  </si>
  <si>
    <t>Prodn.Office</t>
  </si>
  <si>
    <t xml:space="preserve">Provision Store </t>
  </si>
  <si>
    <t xml:space="preserve">lounge </t>
  </si>
  <si>
    <t>Stair-case</t>
  </si>
  <si>
    <t>Visitors Toilet</t>
  </si>
  <si>
    <t>Vegetable De Bagging</t>
  </si>
  <si>
    <t>Pre-Prepration</t>
  </si>
  <si>
    <t>Unloading</t>
  </si>
  <si>
    <t>Rice -Dhal Day Store</t>
  </si>
  <si>
    <t>G-Toilet</t>
  </si>
  <si>
    <t>Less Openings: ED1</t>
  </si>
  <si>
    <t>lounge/Stairs</t>
  </si>
  <si>
    <t>Prodon Manager</t>
  </si>
  <si>
    <t>Ante</t>
  </si>
  <si>
    <t>Work Stations</t>
  </si>
  <si>
    <t>W.C</t>
  </si>
  <si>
    <t>Stage</t>
  </si>
  <si>
    <t>Store-1</t>
  </si>
  <si>
    <t>Store-2</t>
  </si>
  <si>
    <t>Less Openings:</t>
  </si>
  <si>
    <t>Stairse</t>
  </si>
  <si>
    <t>30 MM Thk Lappato finished Granite flooring</t>
  </si>
  <si>
    <t xml:space="preserve">Loading </t>
  </si>
  <si>
    <t>Un-Loading</t>
  </si>
  <si>
    <t>Prodon Office</t>
  </si>
  <si>
    <t>Air Lock</t>
  </si>
  <si>
    <t>Cloth Drying</t>
  </si>
  <si>
    <t xml:space="preserve">Rice Dhal Day </t>
  </si>
  <si>
    <t xml:space="preserve">Lounge </t>
  </si>
  <si>
    <t>Vegstore</t>
  </si>
  <si>
    <t xml:space="preserve">Stairs </t>
  </si>
  <si>
    <t>Rice Dhal Day Store</t>
  </si>
  <si>
    <t>Vegetable De Bagging/Wash</t>
  </si>
  <si>
    <t>Un-Loading Provision</t>
  </si>
  <si>
    <t>Ent Blue Collared Staff</t>
  </si>
  <si>
    <t>Un-Loading Rice Dhal</t>
  </si>
  <si>
    <t>In Foundation:</t>
  </si>
  <si>
    <t>Less: Footing bed CC, column footings, columns upto plinth:</t>
  </si>
  <si>
    <t>Strip Footings:</t>
  </si>
  <si>
    <t>Slab @ 7.30 M Lvl:</t>
  </si>
  <si>
    <t>Cooking Platform:</t>
  </si>
  <si>
    <t>Grade Slab, Wet Cooking:</t>
  </si>
  <si>
    <t xml:space="preserve"> @ 25 Kg/Sqm</t>
  </si>
  <si>
    <t>Add towards Misc Fabrications:</t>
  </si>
  <si>
    <t>Wet Mix</t>
  </si>
  <si>
    <t>Single Coat rough plaster</t>
  </si>
  <si>
    <t>Qtty same as Plastic Emulsion paint:</t>
  </si>
  <si>
    <t>Providing and applying cement based putty in successive layers to achieve perfect leveled surface of the wall &amp; ceiling (internal surfaces) using approved brand putty over the plastered wall &amp; ceiling surfaces etc., complete.</t>
  </si>
  <si>
    <t>25-30mm th Kota flooring</t>
  </si>
  <si>
    <t>Nos</t>
  </si>
  <si>
    <r>
      <t>Providing &amp; rounding corners of beam-slab, wall/beam, in c.m. 1:3, 50X50mm size as per specifactions &amp; details.</t>
    </r>
    <r>
      <rPr>
        <b/>
        <sz val="10"/>
        <rFont val="Arial Narrow"/>
        <family val="2"/>
      </rPr>
      <t/>
    </r>
  </si>
  <si>
    <t>Groove patti</t>
  </si>
  <si>
    <t xml:space="preserve">  ---- do -- For Gutter of 200X200mm size.</t>
  </si>
  <si>
    <t>M 30 Grade Concrete</t>
  </si>
  <si>
    <r>
      <t>For</t>
    </r>
    <r>
      <rPr>
        <b/>
        <sz val="10"/>
        <rFont val="Arial Narrow"/>
        <family val="2"/>
      </rPr>
      <t xml:space="preserve"> Slab </t>
    </r>
    <r>
      <rPr>
        <sz val="10"/>
        <rFont val="Arial Narrow"/>
        <family val="2"/>
      </rPr>
      <t>with M30:</t>
    </r>
  </si>
  <si>
    <t xml:space="preserve">   ----- Do ---- For 1.50 mm  to 3.00 m dept</t>
  </si>
  <si>
    <t>20mm th. Internal walls plastering</t>
  </si>
  <si>
    <t>Single coat rough plaster</t>
  </si>
  <si>
    <t>278/13.2.1</t>
  </si>
  <si>
    <t>Kota flooring 25-30mm th.</t>
  </si>
  <si>
    <t>C.C. pavement of mix M-25 (VDF Flooring M20 grade)</t>
  </si>
  <si>
    <t>Wall putty work</t>
  </si>
  <si>
    <t xml:space="preserve"> 286/13.80</t>
  </si>
  <si>
    <t xml:space="preserve">282/13.48.1 </t>
  </si>
  <si>
    <t>Enamel paint for wood work</t>
  </si>
  <si>
    <t>282/13.48.2</t>
  </si>
  <si>
    <t>Enamel paint for rolling shutters</t>
  </si>
  <si>
    <t>Plaster mesh :</t>
  </si>
  <si>
    <t>Providing &amp; fixing pre-cast RCC Gutter, 600 deep, 600-450 wide including fixing on slope, cement pointing etc., complete.</t>
  </si>
  <si>
    <t>Steel windows and ventilators</t>
  </si>
  <si>
    <t xml:space="preserve"> @21 Kg / Sqm.</t>
  </si>
  <si>
    <t xml:space="preserve"> @ 30 Kg/Sqm</t>
  </si>
  <si>
    <t>Total.</t>
  </si>
  <si>
    <t xml:space="preserve">Date: 09 - 03 - 2024. </t>
  </si>
  <si>
    <t xml:space="preserve"> (Based on SOR. CPWD S.R 2021 &amp; KPWD S.R 2023-24 &amp; Market rates)</t>
  </si>
  <si>
    <t>Cost Index @ 10%:</t>
  </si>
  <si>
    <t>Ref. No: 156/Hub/24.</t>
  </si>
  <si>
    <t>Ref. No: 157/Hub/24.</t>
  </si>
  <si>
    <t>Ref. No: 158/Hub/24.</t>
  </si>
  <si>
    <t>Ref. No: 160/Hub/24.</t>
  </si>
  <si>
    <t>Ref. No: 161/Hub/24.</t>
  </si>
  <si>
    <r>
      <t xml:space="preserve">For </t>
    </r>
    <r>
      <rPr>
        <b/>
        <sz val="10"/>
        <rFont val="Arial Narrow"/>
        <family val="2"/>
      </rPr>
      <t>Column footing:</t>
    </r>
  </si>
  <si>
    <t xml:space="preserve">DETAILED MEASUREMENTS: Site Development </t>
  </si>
  <si>
    <t xml:space="preserve">Plaster mesh 200mm wide  </t>
  </si>
  <si>
    <t>Fire Tank &amp; Raw Water Tank</t>
  </si>
  <si>
    <t>Raw Water Tank &amp; Fire Tank</t>
  </si>
  <si>
    <t>Staging:</t>
  </si>
  <si>
    <t>V8</t>
  </si>
  <si>
    <t>V9</t>
  </si>
  <si>
    <t>M.S.Rolling shutter</t>
  </si>
  <si>
    <t>Structural Glazing</t>
  </si>
  <si>
    <t>ACP</t>
  </si>
  <si>
    <t>Structural Glazzing</t>
  </si>
  <si>
    <t>Rouge Plaster</t>
  </si>
  <si>
    <t>W.P.Plaster in c.m 1:3</t>
  </si>
  <si>
    <t>Wet cooking</t>
  </si>
  <si>
    <t>Chejja top:</t>
  </si>
  <si>
    <t>Raw Water Tank</t>
  </si>
  <si>
    <t>Fire Water Tank</t>
  </si>
  <si>
    <t>CC flooring  100 mm thk</t>
  </si>
  <si>
    <t>CC coving</t>
  </si>
  <si>
    <t>Wet kitchen:</t>
  </si>
  <si>
    <t>packing</t>
  </si>
  <si>
    <t>Loading</t>
  </si>
  <si>
    <t>Vsl wash</t>
  </si>
  <si>
    <t>Vsl store</t>
  </si>
  <si>
    <t>Weather proof course</t>
  </si>
  <si>
    <t>Sunken slab filling</t>
  </si>
  <si>
    <t>S S fabrication works</t>
  </si>
  <si>
    <t>False ceiling</t>
  </si>
  <si>
    <t>Muli Purpose Hall</t>
  </si>
  <si>
    <t>Fire Tank/Raw Tank</t>
  </si>
  <si>
    <t>Elevation Wall</t>
  </si>
  <si>
    <t>Wet Kitchen:</t>
  </si>
  <si>
    <t>Fire Tank</t>
  </si>
  <si>
    <t>Extra for additional height in centering, shuttering where ever required. Suspended floors, roofs, landing, beams and balconies (Plan area to be measured) with adequate bracing, propping etc., including cost of de-shuttering and decentering at all levels, over a height of 3.5 m, for every additional height of 1 metre or part thereof (Plan area to be measured</t>
  </si>
  <si>
    <t>124/5.11.1</t>
  </si>
  <si>
    <t>Eelvation featers:</t>
  </si>
  <si>
    <r>
      <t xml:space="preserve">Providing </t>
    </r>
    <r>
      <rPr>
        <b/>
        <sz val="10"/>
        <rFont val="Arial Narrow"/>
        <family val="2"/>
      </rPr>
      <t>Concrete</t>
    </r>
    <r>
      <rPr>
        <sz val="10"/>
        <rFont val="Arial Narrow"/>
        <family val="2"/>
      </rPr>
      <t xml:space="preserve"> </t>
    </r>
    <r>
      <rPr>
        <b/>
        <sz val="10"/>
        <rFont val="Arial Narrow"/>
        <family val="2"/>
      </rPr>
      <t xml:space="preserve">Coving </t>
    </r>
    <r>
      <rPr>
        <sz val="10"/>
        <rFont val="Arial Narrow"/>
        <family val="2"/>
      </rPr>
      <t xml:space="preserve">in floor &amp; wall junction, 75X75mm size using M25 grade concrete including neat finishing, curing etc complete as per details. </t>
    </r>
  </si>
  <si>
    <r>
      <t xml:space="preserve">Providing &amp; </t>
    </r>
    <r>
      <rPr>
        <b/>
        <sz val="10"/>
        <rFont val="Arial Narrow"/>
        <family val="2"/>
      </rPr>
      <t>filling sunken slab</t>
    </r>
    <r>
      <rPr>
        <sz val="10"/>
        <rFont val="Arial Narrow"/>
        <family val="2"/>
      </rPr>
      <t xml:space="preserve"> with brickbats in c.m. 1:3, including cleaning the surface, waterpoof plastering in c.m. 1:3, providing &amp; laying 75mm thick PCC 1:1.5:3 at top, applying a coat of brush bond or equivalent approved make water repelant paint before filling the brick bats etc. complete as per specifications.</t>
    </r>
  </si>
  <si>
    <t>Partition Wall</t>
  </si>
  <si>
    <t>Beam:</t>
  </si>
  <si>
    <t xml:space="preserve"> @ 4.00m Lvl:</t>
  </si>
  <si>
    <t>Above 3.50m upto 7.50m Height above FFL:</t>
  </si>
  <si>
    <r>
      <t>Providing and laying in position</t>
    </r>
    <r>
      <rPr>
        <b/>
        <sz val="10"/>
        <rFont val="Arial Narrow"/>
        <family val="2"/>
      </rPr>
      <t xml:space="preserve"> ready mixed</t>
    </r>
    <r>
      <rPr>
        <sz val="10"/>
        <rFont val="Arial Narrow"/>
        <family val="2"/>
      </rPr>
      <t xml:space="preserve"> or site batched design mix cement concrete for reinforced cement concrete work; using coarse aggregate and fine aggregate derived from natural sources, Portland Pozzolana / Ordinary Portland /Portland Slag cement, admixtures inrecommended proportions as per IS: 9103 to accelerate / retard setting of concrete, to improve durability and workability without impairingstrength; including pumping of concrete to site of laying, curing, carriagefor all leads; but excluding the cost of centering, shuttering, finishingand reinforcement as per direction of the engineer-in-charge; for the following grades of concrete.                                                                                                               Note: Minimum cement content in design mix concrete shall be as per revelant IS code.</t>
    </r>
  </si>
  <si>
    <t>139/6.4.2</t>
  </si>
  <si>
    <t>Loading bay:</t>
  </si>
  <si>
    <t xml:space="preserve">Structural Glazing </t>
  </si>
  <si>
    <t>495/25.2</t>
  </si>
  <si>
    <t>162/8.32</t>
  </si>
  <si>
    <t>Waterproof plaster</t>
  </si>
  <si>
    <t>279/13.9.2 + 280/13.21</t>
  </si>
  <si>
    <t xml:space="preserve">CC Flooring 100 thick </t>
  </si>
  <si>
    <t>As Per Analysis</t>
  </si>
  <si>
    <t>RATE ANALYSIS</t>
  </si>
  <si>
    <t>Paving concrete</t>
  </si>
  <si>
    <t>Earthwork excavation</t>
  </si>
  <si>
    <t>For 1SqmX0.075XRs. 286.85</t>
  </si>
  <si>
    <t xml:space="preserve"> / Sqm.</t>
  </si>
  <si>
    <t>As per Analysis</t>
  </si>
  <si>
    <t>P.C.C. (1:4:8)</t>
  </si>
  <si>
    <t>For 1SqmX0.075XRs.6326.05</t>
  </si>
  <si>
    <t>115mm Brick masonry</t>
  </si>
  <si>
    <t>For 1Sqm= 1 RmtX0.115XRs. 1018.05</t>
  </si>
  <si>
    <t>C.C. Flooring</t>
  </si>
  <si>
    <t>For 1Sqm</t>
  </si>
  <si>
    <t>Coving 75X75mm</t>
  </si>
  <si>
    <t>For 1 RmtX0.075X0.075XRs.7365.15</t>
  </si>
  <si>
    <t xml:space="preserve"> / Rmt.</t>
  </si>
  <si>
    <t>Plaster finish</t>
  </si>
  <si>
    <t>For 1 Rmt= 1 RmtX0.115XRs. 374.15</t>
  </si>
  <si>
    <t>C.C. flooring 100mm</t>
  </si>
  <si>
    <t>Rate of 62 mm th. C.c. flooring</t>
  </si>
  <si>
    <t>Rate for extra concrete</t>
  </si>
  <si>
    <t>For 1SqmX0.038XRs.6326.05</t>
  </si>
  <si>
    <t>S S fabricatiom</t>
  </si>
  <si>
    <t xml:space="preserve">DETAILED MEASUREMENTS: </t>
  </si>
  <si>
    <t>Item No.</t>
  </si>
  <si>
    <t>Description of work</t>
  </si>
  <si>
    <t>NO.</t>
  </si>
  <si>
    <t xml:space="preserve">                 Measurement</t>
  </si>
  <si>
    <t>Contents</t>
  </si>
  <si>
    <t>Waste Water Holding Tank:</t>
  </si>
  <si>
    <t xml:space="preserve">Earthwork excavation </t>
  </si>
  <si>
    <t>20% of walls:</t>
  </si>
  <si>
    <t>Available earth</t>
  </si>
  <si>
    <t>Boulder Packing</t>
  </si>
  <si>
    <t>P.C.C 1:4:8:</t>
  </si>
  <si>
    <t>M30 Grade concrete</t>
  </si>
  <si>
    <t>R.C.C  Raft</t>
  </si>
  <si>
    <t>RCC Slab</t>
  </si>
  <si>
    <t>RCC Wall</t>
  </si>
  <si>
    <r>
      <t xml:space="preserve">For </t>
    </r>
    <r>
      <rPr>
        <b/>
        <sz val="10"/>
        <rFont val="Arial Narrow"/>
        <family val="2"/>
      </rPr>
      <t>RCC Raft</t>
    </r>
  </si>
  <si>
    <r>
      <t xml:space="preserve">For </t>
    </r>
    <r>
      <rPr>
        <b/>
        <sz val="10"/>
        <rFont val="Arial Narrow"/>
        <family val="2"/>
      </rPr>
      <t>RCC Wall</t>
    </r>
  </si>
  <si>
    <t>Waterproof plastering</t>
  </si>
  <si>
    <t>Inside wall</t>
  </si>
  <si>
    <t>Bottom and ceiling</t>
  </si>
  <si>
    <t xml:space="preserve">Kota Stone </t>
  </si>
  <si>
    <t>Inside Wall</t>
  </si>
  <si>
    <t>Wall dadooing</t>
  </si>
  <si>
    <t xml:space="preserve">Vent Pipe </t>
  </si>
  <si>
    <t>Vent Cowl</t>
  </si>
  <si>
    <t>S.S. Perforated Sheet</t>
  </si>
  <si>
    <t xml:space="preserve"> @ 30 Kg / Sqm</t>
  </si>
  <si>
    <r>
      <t>E S T I M A T E :</t>
    </r>
    <r>
      <rPr>
        <b/>
        <i/>
        <sz val="14"/>
        <rFont val="Arial Narrow"/>
        <family val="2"/>
      </rPr>
      <t xml:space="preserve"> WASTE HOLDING TANK.</t>
    </r>
  </si>
  <si>
    <r>
      <t xml:space="preserve">Earth work </t>
    </r>
    <r>
      <rPr>
        <b/>
        <sz val="10"/>
        <rFont val="Arial Narrow"/>
        <family val="2"/>
      </rPr>
      <t>excavation</t>
    </r>
    <r>
      <rPr>
        <sz val="10"/>
        <rFont val="Arial Narrow"/>
        <family val="2"/>
      </rPr>
      <t xml:space="preserve"> for foundation pits, trenches &amp; other similar works including removing the excavated earth to a distance not exceeding 100m, dewatering in case of water sepage into the foundation pits etc complete in ordinary soil upto 1.5m depth.</t>
    </r>
  </si>
  <si>
    <r>
      <t xml:space="preserve">Earth work </t>
    </r>
    <r>
      <rPr>
        <b/>
        <sz val="10"/>
        <rFont val="Arial Narrow"/>
        <family val="2"/>
      </rPr>
      <t>filling</t>
    </r>
    <r>
      <rPr>
        <sz val="10"/>
        <rFont val="Arial Narrow"/>
        <family val="2"/>
      </rPr>
      <t xml:space="preserve"> to the sides of foundation &amp; inside basement or similar works with approved, </t>
    </r>
    <r>
      <rPr>
        <b/>
        <sz val="10"/>
        <rFont val="Arial Narrow"/>
        <family val="2"/>
      </rPr>
      <t>available earth</t>
    </r>
    <r>
      <rPr>
        <sz val="10"/>
        <rFont val="Arial Narrow"/>
        <family val="2"/>
      </rPr>
      <t xml:space="preserve"> at site including watering &amp; compacting by mannual or mechanical means in layers of 15 cms. Thick, to the required density (98%) including shifting, loading &amp; unloading etc complete.</t>
    </r>
  </si>
  <si>
    <r>
      <t xml:space="preserve"> --do-- for</t>
    </r>
    <r>
      <rPr>
        <b/>
        <sz val="10"/>
        <rFont val="Arial Narrow"/>
        <family val="2"/>
      </rPr>
      <t xml:space="preserve"> RCC Raft  </t>
    </r>
    <r>
      <rPr>
        <sz val="10"/>
        <rFont val="Arial Narrow"/>
        <family val="2"/>
      </rPr>
      <t>M-30</t>
    </r>
  </si>
  <si>
    <r>
      <t xml:space="preserve"> --do-- for </t>
    </r>
    <r>
      <rPr>
        <b/>
        <sz val="10"/>
        <rFont val="Arial Narrow"/>
        <family val="2"/>
      </rPr>
      <t xml:space="preserve">RCC Wall </t>
    </r>
    <r>
      <rPr>
        <sz val="10"/>
        <rFont val="Arial Narrow"/>
        <family val="2"/>
      </rPr>
      <t>with M-30</t>
    </r>
  </si>
  <si>
    <r>
      <rPr>
        <sz val="10"/>
        <rFont val="Arial Narrow"/>
        <family val="2"/>
      </rPr>
      <t>For</t>
    </r>
    <r>
      <rPr>
        <b/>
        <sz val="10"/>
        <rFont val="Arial Narrow"/>
        <family val="2"/>
      </rPr>
      <t xml:space="preserve"> RCC Raft:</t>
    </r>
  </si>
  <si>
    <r>
      <t>For</t>
    </r>
    <r>
      <rPr>
        <b/>
        <sz val="10"/>
        <rFont val="Arial Narrow"/>
        <family val="2"/>
      </rPr>
      <t xml:space="preserve"> RCC Wall</t>
    </r>
  </si>
  <si>
    <t>Kgs</t>
  </si>
  <si>
    <t xml:space="preserve">Providing 20mm thick cement plaster in single coat with cement mortar 1:3,  to stone masonry &amp; concrete surface including rounding off corners wherever required smooth rendering, : Providing and removing scaffolding, including cost of materials, labour, curing complete as per specifications including mixing of approve waterproof compound (1Kg/Bag of cement) </t>
  </si>
  <si>
    <r>
      <t xml:space="preserve">P/F  machine </t>
    </r>
    <r>
      <rPr>
        <b/>
        <sz val="10"/>
        <rFont val="Arial Narrow"/>
        <family val="2"/>
      </rPr>
      <t xml:space="preserve"> Kota green </t>
    </r>
    <r>
      <rPr>
        <sz val="10"/>
        <rFont val="Arial Narrow"/>
        <family val="2"/>
      </rPr>
      <t xml:space="preserve">stone slab as buffer wall in bar screen chamber as per details, curing etc., complete. </t>
    </r>
  </si>
  <si>
    <r>
      <t>P/F. PVC or equivalant approved make</t>
    </r>
    <r>
      <rPr>
        <b/>
        <sz val="10"/>
        <rFont val="Arial Narrow"/>
        <family val="2"/>
      </rPr>
      <t xml:space="preserve"> Vent cowl</t>
    </r>
    <r>
      <rPr>
        <sz val="10"/>
        <rFont val="Arial Narrow"/>
        <family val="2"/>
      </rPr>
      <t xml:space="preserve"> (Supreme or equivalent make) malleable specials such as , reducing sockets, collers etc. as required including cutting, threading and fixing with necessary plumbers gum,  etc. complete.</t>
    </r>
  </si>
  <si>
    <r>
      <t xml:space="preserve">Providing &amp; fixing </t>
    </r>
    <r>
      <rPr>
        <b/>
        <sz val="10"/>
        <rFont val="Arial Narrow"/>
        <family val="2"/>
      </rPr>
      <t>PVC Coated MS steps</t>
    </r>
    <r>
      <rPr>
        <sz val="10"/>
        <rFont val="Arial Narrow"/>
        <family val="2"/>
      </rPr>
      <t xml:space="preserve"> including embeding in concrete neat finishing etc complete.</t>
    </r>
  </si>
  <si>
    <t>Providing &amp; fixing S.S. Perforated screener using 10 gauge (3.57 mm) S.S sheet including making perforations of 4 to 5mm dia (50 per cent area of sheet) drain lid/cover as per details.</t>
  </si>
  <si>
    <t>For Column Footings / RCC Raft with M30:</t>
  </si>
  <si>
    <t>Kota flooring 50mm th.</t>
  </si>
  <si>
    <t>Add 30% extra of 25mm th.</t>
  </si>
  <si>
    <t>PVC coated M. S. Steps</t>
  </si>
  <si>
    <t>441/19.16</t>
  </si>
  <si>
    <t>Ref. No: 167/Hub/24.</t>
  </si>
  <si>
    <t xml:space="preserve">Date: 13 - 03 - 2024. </t>
  </si>
  <si>
    <t>Notes on Item no. 34, 36 &amp; 40:</t>
  </si>
  <si>
    <t>Doors/Windows frames should be adjoined to the finished wall. Any gaps should be filled with silicon gel of approved pigment within the quoated rates.</t>
  </si>
  <si>
    <t>PVC joint for water tank</t>
  </si>
  <si>
    <t>OH Tank:</t>
  </si>
  <si>
    <t>Providing &amp; fixing PVC  water stopper strips 300mm wide with central bulb as per details.</t>
  </si>
  <si>
    <t>470/22.5</t>
  </si>
  <si>
    <t>Sunken filling:</t>
  </si>
  <si>
    <t>AP S.R-2023-24-767/MAT-01384 /BMT-N.55</t>
  </si>
  <si>
    <t>265/12.52.4</t>
  </si>
  <si>
    <t>Providing and fixing tiled false ceiling of specified materials of size 595x595 mm in true horizontal level, suspended on inter locking metal grid of hot dipped galvanized steel sections ( galvanized @ 120 grams/ sqm, both side inclusive) consisting of main "T" runner with suitably spaced joints to get required length and of size 24x38 mm made from 0.30mm thick (minimum) sheet, spaced at 1200mm center to center and cross "T" of size 24x25 mm made of 0.30mm thick (minimum) sheet, 1200 mm long spaced between main"T" at 600 mm center to center to form a grid of 1200x600 mm and secondary cross "T" of length 600 mm and size 24x25 mm made of 0.30 mm thick (minimum) sheet to be interlocked at middle of the 1200x600 mm panel to form grids of 600x600 mm and wall angle of size 24x24x0.3 mm and laying false ceiling tiles of approved texture in the grid including, required cutting/making, opening for services like diffusers, grills, light fittings, fixtures, smoke detectors etc. Main "T" runners to be suspended from ceiling using GI slotted cleats of size 27 x 37 x 25 x1.6 mm fixed to ceiling with 12.5 mm dia and 50mm long dash fasteners, 4 mm GI adjustable rods with galvanised butterfly level clips of size 85 x 30 x 0.8 mm spaced at 1200 mm center to center along main T, bottom exposed width of 24 mm of all T-sections shall be pre-painted with polyester paint, all complete for
all heights as per specifications, drawings and as directed by Engineer-in-charge. 12.5 mm thick fully Perforated Gypsum Board tile made from plasterboard having glass fibre conforming to IS:2095 part I, of size 595x595 mm, having perforation of 9.7x9.7 mm at 19.4 mm c/c with center borders of 48mm and the side borders of 30 mm, backed with non woven tissue on the back side, having an NRC (Noise Reduction Coefficient) of 0.79, with 50 mm resin bonded glass wool backing.</t>
  </si>
  <si>
    <t>Rounding corners of beam-slab,</t>
  </si>
  <si>
    <t>Code</t>
  </si>
  <si>
    <t>Rate Rs.</t>
  </si>
  <si>
    <t>Amount Rs.</t>
  </si>
  <si>
    <t>MATERIAL</t>
  </si>
  <si>
    <t>Cement mortar 1 : 6 (1 cement : 6 coarse sand)</t>
  </si>
  <si>
    <t>Rate as per Item Number 3.11 of SH: Mortars</t>
  </si>
  <si>
    <t>cum</t>
  </si>
  <si>
    <t>LABOUR</t>
  </si>
  <si>
    <t>Mason (average)</t>
  </si>
  <si>
    <t>day</t>
  </si>
  <si>
    <t>Coolie</t>
  </si>
  <si>
    <t>Bhisti</t>
  </si>
  <si>
    <t>Scaffolding and sundries</t>
  </si>
  <si>
    <t>L.S.</t>
  </si>
  <si>
    <t>TOTAL</t>
  </si>
  <si>
    <t>Add 1 % Water charges on "W"</t>
  </si>
  <si>
    <t>Add 15% CPOH on "Y"</t>
  </si>
  <si>
    <t>Add Cess @ 1% on "Z"</t>
  </si>
  <si>
    <t>Cost of 10.00 sqm</t>
  </si>
  <si>
    <t>Say</t>
  </si>
  <si>
    <t>W</t>
  </si>
  <si>
    <t>X</t>
  </si>
  <si>
    <t>Y</t>
  </si>
  <si>
    <t>Z</t>
  </si>
  <si>
    <t>Add GST on "X" (multiplying factor 0.2127)</t>
  </si>
  <si>
    <t>Detail of cost for 10 sqm (66.50 Rmt)</t>
  </si>
  <si>
    <t>Cost of 1.00 sqm (6.65 Rmt)</t>
  </si>
  <si>
    <t>Cost of 1.00 Rmt</t>
  </si>
  <si>
    <t>Rate of 1Sqm</t>
  </si>
  <si>
    <t>As A P SOR /26/156/MAT-00894/BMT-F-28</t>
  </si>
  <si>
    <t xml:space="preserve"> plastering qty</t>
  </si>
  <si>
    <r>
      <t xml:space="preserve">Steel work welded in built up sections/ framed work, including cutting, hoisting, fixing in position and applying a priming coat of approved steel primer using structural steel etc. as required. In gratings, frames, guard bar, ladder, railings, brackets, gates and similar works For </t>
    </r>
    <r>
      <rPr>
        <b/>
        <sz val="10"/>
        <rFont val="Arial Narrow"/>
        <family val="2"/>
      </rPr>
      <t>M.S Chamber COVERS</t>
    </r>
  </si>
  <si>
    <t xml:space="preserve">600 X 600 </t>
  </si>
  <si>
    <t>M.S chambers</t>
  </si>
  <si>
    <t>600 X 600 X 600 -750</t>
  </si>
  <si>
    <r>
      <t xml:space="preserve"> </t>
    </r>
    <r>
      <rPr>
        <b/>
        <sz val="10"/>
        <rFont val="Arial Narrow"/>
        <family val="2"/>
      </rPr>
      <t xml:space="preserve"> @ </t>
    </r>
  </si>
  <si>
    <t>CI cover 600 X 600</t>
  </si>
  <si>
    <t xml:space="preserve"> @</t>
  </si>
  <si>
    <t>M.S. Cover 600 X 600</t>
  </si>
  <si>
    <t>75 mm dia:</t>
  </si>
  <si>
    <t>As per analysis</t>
  </si>
  <si>
    <t>Details of cost for 10 metre</t>
  </si>
  <si>
    <t>SWR Pipes</t>
  </si>
  <si>
    <t>75MM Dia</t>
  </si>
  <si>
    <t>metre</t>
  </si>
  <si>
    <t>P</t>
  </si>
  <si>
    <t>Add 30% for fittings and wastage etc. on (P)</t>
  </si>
  <si>
    <t>30 x P / 100</t>
  </si>
  <si>
    <t>Cement, sand and grit etc.</t>
  </si>
  <si>
    <t>Fitter (grade 1)</t>
  </si>
  <si>
    <t>Assistant Fitter or 2nd class Fitter</t>
  </si>
  <si>
    <t>Beldar</t>
  </si>
  <si>
    <t>Cost of 10 metre</t>
  </si>
  <si>
    <t>Cost of 1 metre</t>
  </si>
  <si>
    <t>75mm SWR vent Pipe</t>
  </si>
  <si>
    <t>75mm SWR vent Cowl</t>
  </si>
  <si>
    <t>SWR Cowl</t>
  </si>
  <si>
    <t>Details of cost for 1no.</t>
  </si>
  <si>
    <t>Cost of 1no.</t>
  </si>
  <si>
    <t>Details of cost for Each of 0.45 metre</t>
  </si>
  <si>
    <t>UPVC Pipes</t>
  </si>
  <si>
    <t>Add 5% for Pipe threading and wastage etc. on (P)</t>
  </si>
  <si>
    <t>5 x P / 100</t>
  </si>
  <si>
    <t>Flange Van stone style</t>
  </si>
  <si>
    <t>Each</t>
  </si>
  <si>
    <t>Cost of Each</t>
  </si>
  <si>
    <t>50MM Dia</t>
  </si>
  <si>
    <t>50mm Tank connector Pipes</t>
  </si>
  <si>
    <t>100mm Tank connector Pipes</t>
  </si>
  <si>
    <t>100MM Dia</t>
  </si>
  <si>
    <r>
      <t>P/F. PVC or equivalant approved make</t>
    </r>
    <r>
      <rPr>
        <b/>
        <sz val="10"/>
        <rFont val="Arial Narrow"/>
        <family val="2"/>
      </rPr>
      <t xml:space="preserve"> Vent Pipes</t>
    </r>
    <r>
      <rPr>
        <sz val="10"/>
        <rFont val="Arial Narrow"/>
        <family val="2"/>
      </rPr>
      <t xml:space="preserve"> (Supreme or equivalent make) malleable specials such as , reducing sockets, collers etc. as required including cutting, threading and fixing with necessary plumbers gum,  etc. complete. 75 mm dia.</t>
    </r>
  </si>
  <si>
    <t>15 to 50 mm dia Tank connector Pipes</t>
  </si>
  <si>
    <t>65 to 100 mm diaTank connector Pipes</t>
  </si>
  <si>
    <t>65 to 100 mm dia Tank connector Pipes</t>
  </si>
  <si>
    <t>P/f. 65 to 100 mm dia Tank connector Pipes in rcc using UPVC pipes with flage van stone stye as per details.</t>
  </si>
  <si>
    <t>PVC joint for water tank 300mm wide</t>
  </si>
  <si>
    <t>300mm wide</t>
  </si>
  <si>
    <t>92/(2.8.1+2.11)</t>
  </si>
  <si>
    <t>RCC precast compound wall</t>
  </si>
  <si>
    <t xml:space="preserve"> Pre-cast RCC compound wall</t>
  </si>
  <si>
    <t>Rate for 1Rmt</t>
  </si>
  <si>
    <t>As per quotation</t>
  </si>
  <si>
    <t>Add 18% GST</t>
  </si>
  <si>
    <t>461/21.3.3</t>
  </si>
  <si>
    <t>8mm thick Glazing for Aluminium Door</t>
  </si>
  <si>
    <t>8mm th. Float glass for door</t>
  </si>
  <si>
    <t>Aluminium tubular handle</t>
  </si>
  <si>
    <t>Rate as per CPWD SOR 2021 P.no 462 / I.No. 21.12.2</t>
  </si>
  <si>
    <t>2no. of handle</t>
  </si>
  <si>
    <t>Rate as per CPWD SOR 2021 P.no 462 / I.No. 21.13</t>
  </si>
  <si>
    <t>Mortice latch and lock</t>
  </si>
  <si>
    <t>Aluminium tubular handle &amp; Mortice latch and lock</t>
  </si>
  <si>
    <t xml:space="preserve"> /Set</t>
  </si>
  <si>
    <t xml:space="preserve">  /Rmt.</t>
  </si>
  <si>
    <t xml:space="preserve"> /Rmt</t>
  </si>
  <si>
    <t xml:space="preserve"> /Rmt.</t>
  </si>
  <si>
    <t>For 1Rmt  22 X 0.20Sqm = 4.40 / Rmt</t>
  </si>
  <si>
    <t>Rate as per supreme pipe price list Fix 'O' RING (Rs.559.00/ 3Mtr)</t>
  </si>
  <si>
    <t>Rate as per supreme pipe price list</t>
  </si>
  <si>
    <t>Rate as per supreme pipe price list (Rs.1042.00/ 3Mtr)</t>
  </si>
  <si>
    <t>Rate as per supreme pipe price list (Rs.3142.00/ 3Mtr)</t>
  </si>
  <si>
    <t>Rate as per above picture</t>
  </si>
  <si>
    <t>Note : Refer Quotation Folder &gt; Civil &amp; Sanitory &amp; Plumbing folder &gt; RCC precast compound Wall</t>
  </si>
  <si>
    <t>Note : Refer Quotation Folder &gt; Civil &amp; Sanitory &amp; Plumbing folder &gt; Supreme price list page-5</t>
  </si>
  <si>
    <t>Note : Refer Quotation Folder &gt; Civil &amp; Sanitory &amp; Plumbing folder &gt; Supreme price list page-6</t>
  </si>
  <si>
    <t>Note : Refer Quotation Folder &gt; Civil &amp; Sanitory &amp; Plumbing folder &gt; Supreme price list page-2</t>
  </si>
  <si>
    <r>
      <t xml:space="preserve">Earth work </t>
    </r>
    <r>
      <rPr>
        <b/>
        <sz val="10"/>
        <rFont val="Aptos"/>
        <family val="2"/>
      </rPr>
      <t>excavation</t>
    </r>
    <r>
      <rPr>
        <sz val="10"/>
        <rFont val="Aptos"/>
        <family val="2"/>
      </rPr>
      <t xml:space="preserve"> for foundation pits, trenches &amp; other similar works including removing the excavated earth to a distance not exceeding 100m, including dewatering in case of water sepage into the foundation pits, setting out, shoring, strutting, barricading, caution lights, removal of stumps and other deleterious matter, excavated surface leveled and sides neatly dressed disposing off the excavated stuff or sorting &amp; stacking the selected stuff for reuse in a radius of 100 m etc complete in ordinary soil upto 1.5m depth.</t>
    </r>
  </si>
  <si>
    <r>
      <t xml:space="preserve">Earth work </t>
    </r>
    <r>
      <rPr>
        <b/>
        <sz val="10"/>
        <rFont val="Aptos"/>
        <family val="2"/>
      </rPr>
      <t>filling</t>
    </r>
    <r>
      <rPr>
        <sz val="10"/>
        <rFont val="Aptos"/>
        <family val="2"/>
      </rPr>
      <t xml:space="preserve"> to the sides of foundation &amp; inside basement or similar works with approved, </t>
    </r>
    <r>
      <rPr>
        <b/>
        <sz val="10"/>
        <rFont val="Aptos"/>
        <family val="2"/>
      </rPr>
      <t>available earth</t>
    </r>
    <r>
      <rPr>
        <sz val="10"/>
        <rFont val="Aptos"/>
        <family val="2"/>
      </rPr>
      <t xml:space="preserve"> at site including watering &amp; compacting by mannual or mechanical means in layers of 15 cms. Thick, to the required density (98%) including shifting, loading &amp; unloading etc complete. Mode of mesurement: compacted earth as laid.</t>
    </r>
  </si>
  <si>
    <r>
      <rPr>
        <b/>
        <sz val="10"/>
        <rFont val="Aptos"/>
        <family val="2"/>
      </rPr>
      <t xml:space="preserve">  </t>
    </r>
    <r>
      <rPr>
        <sz val="10"/>
        <rFont val="Aptos"/>
        <family val="2"/>
      </rPr>
      <t>-- do--</t>
    </r>
    <r>
      <rPr>
        <b/>
        <sz val="10"/>
        <rFont val="Aptos"/>
        <family val="2"/>
      </rPr>
      <t xml:space="preserve"> New earth/Murrum</t>
    </r>
    <r>
      <rPr>
        <sz val="10"/>
        <rFont val="Aptos"/>
        <family val="2"/>
      </rPr>
      <t>, including excavation at quarry, transportation, loading &amp; unloading etc complete. Mode of mesurement: compacted earth as laid.</t>
    </r>
  </si>
  <si>
    <r>
      <t>Providing &amp; filling</t>
    </r>
    <r>
      <rPr>
        <b/>
        <sz val="10"/>
        <rFont val="Aptos"/>
        <family val="2"/>
      </rPr>
      <t xml:space="preserve"> boulders &amp; sand</t>
    </r>
    <r>
      <rPr>
        <sz val="10"/>
        <rFont val="Aptos"/>
        <family val="2"/>
      </rPr>
      <t xml:space="preserve"> below flooring, at foundation &amp; similar works using approved quality stone boulders of 200mm &amp; down size and course sand including hand packing, watering, consolidating etc. complete as per directions.</t>
    </r>
  </si>
  <si>
    <r>
      <t xml:space="preserve">P/L  </t>
    </r>
    <r>
      <rPr>
        <b/>
        <sz val="10"/>
        <rFont val="Aptos"/>
        <family val="2"/>
      </rPr>
      <t>P.C.C (1:4:8)</t>
    </r>
    <r>
      <rPr>
        <sz val="10"/>
        <rFont val="Aptos"/>
        <family val="2"/>
      </rPr>
      <t xml:space="preserve"> using granite or basalt or trap metal concrete using 40mm &amp; down size machine crushed metal and clean river sand for foundation, floor beds &amp; other similar works laid in 15/10 cms thick layers &amp; well compacted including machine mixing, curing, shuttering wherever required etc., complete.</t>
    </r>
  </si>
  <si>
    <r>
      <t xml:space="preserve">P/L  P.C.C (1:2:4) granite or basalt or trap metal cement concrete for </t>
    </r>
    <r>
      <rPr>
        <b/>
        <sz val="10"/>
        <rFont val="Aptos"/>
        <family val="2"/>
      </rPr>
      <t>D.P.C, Cills, Coping</t>
    </r>
    <r>
      <rPr>
        <sz val="10"/>
        <rFont val="Aptos"/>
        <family val="2"/>
      </rPr>
      <t xml:space="preserve"> etc using 20mm &amp; down size machine crushed metal &amp; clean river sand including machine mixing laying, tamping, curing &amp; neat finishing for exposed faces with necessary centering &amp; form work etc., complete</t>
    </r>
  </si>
  <si>
    <r>
      <t>Providing and laying in position</t>
    </r>
    <r>
      <rPr>
        <b/>
        <sz val="10"/>
        <rFont val="Aptos"/>
        <family val="2"/>
      </rPr>
      <t xml:space="preserve"> ready mixed</t>
    </r>
    <r>
      <rPr>
        <sz val="10"/>
        <rFont val="Aptos"/>
        <family val="2"/>
      </rPr>
      <t xml:space="preserve"> or site batched design mix cement concrete for reinforced cement concrete work; using coarse aggregate and fine aggregate derived from natural sources, Portland Pozzolana / Ordinary Portland /Portland Slag cement, admixtures inrecommended proportions as per IS: 9103 to accelerate / retard setting of concrete, to improve durability and workability without impairingstrength; including pumping of concrete to site of laying, curing, carriagefor all leads; but excluding the cost of centering, shuttering, finishingand reinforcement as per direction of the engineer-in-charge; for the following grades of concrete.                                                                                                               Note: Minimum cement content in design mix concrete shall be as per revelant IS code.</t>
    </r>
  </si>
  <si>
    <r>
      <t xml:space="preserve">For </t>
    </r>
    <r>
      <rPr>
        <b/>
        <sz val="10"/>
        <rFont val="Aptos"/>
        <family val="2"/>
      </rPr>
      <t>column footing</t>
    </r>
    <r>
      <rPr>
        <sz val="10"/>
        <rFont val="Aptos"/>
        <family val="2"/>
      </rPr>
      <t xml:space="preserve"> with M25:</t>
    </r>
  </si>
  <si>
    <r>
      <t>For</t>
    </r>
    <r>
      <rPr>
        <b/>
        <sz val="10"/>
        <rFont val="Aptos"/>
        <family val="2"/>
      </rPr>
      <t xml:space="preserve"> Columns, </t>
    </r>
    <r>
      <rPr>
        <sz val="10"/>
        <rFont val="Aptos"/>
        <family val="2"/>
      </rPr>
      <t xml:space="preserve">rectangular / square / circular / L shape with </t>
    </r>
    <r>
      <rPr>
        <b/>
        <sz val="10"/>
        <rFont val="Aptos"/>
        <family val="2"/>
      </rPr>
      <t xml:space="preserve">M30: </t>
    </r>
  </si>
  <si>
    <r>
      <t xml:space="preserve">For </t>
    </r>
    <r>
      <rPr>
        <b/>
        <sz val="10"/>
        <rFont val="Aptos"/>
        <family val="2"/>
      </rPr>
      <t xml:space="preserve">Plinth Beam </t>
    </r>
    <r>
      <rPr>
        <sz val="10"/>
        <rFont val="Aptos"/>
        <family val="2"/>
      </rPr>
      <t>with M30:</t>
    </r>
  </si>
  <si>
    <r>
      <t xml:space="preserve">For </t>
    </r>
    <r>
      <rPr>
        <b/>
        <sz val="10"/>
        <rFont val="Aptos"/>
        <family val="2"/>
      </rPr>
      <t xml:space="preserve">Beam </t>
    </r>
    <r>
      <rPr>
        <sz val="10"/>
        <rFont val="Aptos"/>
        <family val="2"/>
      </rPr>
      <t>with M30:</t>
    </r>
  </si>
  <si>
    <r>
      <t>For</t>
    </r>
    <r>
      <rPr>
        <b/>
        <sz val="10"/>
        <rFont val="Aptos"/>
        <family val="2"/>
      </rPr>
      <t xml:space="preserve">  Lintel </t>
    </r>
    <r>
      <rPr>
        <sz val="10"/>
        <rFont val="Aptos"/>
        <family val="2"/>
      </rPr>
      <t>with M30:</t>
    </r>
  </si>
  <si>
    <r>
      <t>For</t>
    </r>
    <r>
      <rPr>
        <b/>
        <sz val="10"/>
        <rFont val="Aptos"/>
        <family val="2"/>
      </rPr>
      <t xml:space="preserve">  Staircase</t>
    </r>
    <r>
      <rPr>
        <sz val="10"/>
        <rFont val="Aptos"/>
        <family val="2"/>
      </rPr>
      <t xml:space="preserve"> with M30:</t>
    </r>
  </si>
  <si>
    <r>
      <t>For</t>
    </r>
    <r>
      <rPr>
        <b/>
        <sz val="10"/>
        <rFont val="Aptos"/>
        <family val="2"/>
      </rPr>
      <t xml:space="preserve"> Slab </t>
    </r>
    <r>
      <rPr>
        <sz val="10"/>
        <rFont val="Aptos"/>
        <family val="2"/>
      </rPr>
      <t>with M30:</t>
    </r>
  </si>
  <si>
    <r>
      <t>For</t>
    </r>
    <r>
      <rPr>
        <b/>
        <sz val="10"/>
        <rFont val="Aptos"/>
        <family val="2"/>
      </rPr>
      <t xml:space="preserve"> RCC Wall </t>
    </r>
    <r>
      <rPr>
        <sz val="10"/>
        <rFont val="Aptos"/>
        <family val="2"/>
      </rPr>
      <t>with M30:</t>
    </r>
  </si>
  <si>
    <r>
      <t>For</t>
    </r>
    <r>
      <rPr>
        <b/>
        <sz val="10"/>
        <rFont val="Aptos"/>
        <family val="2"/>
      </rPr>
      <t xml:space="preserve"> RCC Chejja/ projections</t>
    </r>
    <r>
      <rPr>
        <sz val="10"/>
        <rFont val="Aptos"/>
        <family val="2"/>
      </rPr>
      <t xml:space="preserve"> upto 100mm thick including making drip moulds etc complete:</t>
    </r>
  </si>
  <si>
    <r>
      <t>For</t>
    </r>
    <r>
      <rPr>
        <b/>
        <sz val="10"/>
        <rFont val="Aptos"/>
        <family val="2"/>
      </rPr>
      <t xml:space="preserve"> Facia /Padadi/ Fins </t>
    </r>
    <r>
      <rPr>
        <sz val="10"/>
        <rFont val="Aptos"/>
        <family val="2"/>
      </rPr>
      <t>(Horizontal &amp; vertical) 50mm thick, by providing &amp; fixing chicken mesh, plastering in successive coats, neat finishing etc complete as per details:</t>
    </r>
  </si>
  <si>
    <r>
      <t>Providing and fixing</t>
    </r>
    <r>
      <rPr>
        <b/>
        <sz val="10"/>
        <rFont val="Aptos"/>
        <family val="2"/>
      </rPr>
      <t xml:space="preserve"> centering, shuttering </t>
    </r>
    <r>
      <rPr>
        <sz val="10"/>
        <rFont val="Aptos"/>
        <family val="2"/>
      </rPr>
      <t>&amp; formwork of steel / ply  for RCC works as per details.</t>
    </r>
  </si>
  <si>
    <r>
      <t>For</t>
    </r>
    <r>
      <rPr>
        <b/>
        <sz val="10"/>
        <rFont val="Aptos"/>
        <family val="2"/>
      </rPr>
      <t xml:space="preserve"> Column footing</t>
    </r>
  </si>
  <si>
    <r>
      <t>For</t>
    </r>
    <r>
      <rPr>
        <b/>
        <sz val="10"/>
        <rFont val="Aptos"/>
        <family val="2"/>
      </rPr>
      <t xml:space="preserve"> Columns</t>
    </r>
  </si>
  <si>
    <r>
      <t xml:space="preserve">For </t>
    </r>
    <r>
      <rPr>
        <b/>
        <sz val="10"/>
        <rFont val="Aptos"/>
        <family val="2"/>
      </rPr>
      <t>Plinth Beam:</t>
    </r>
  </si>
  <si>
    <r>
      <t>For</t>
    </r>
    <r>
      <rPr>
        <b/>
        <sz val="10"/>
        <rFont val="Aptos"/>
        <family val="2"/>
      </rPr>
      <t xml:space="preserve"> Beam</t>
    </r>
  </si>
  <si>
    <r>
      <t>For</t>
    </r>
    <r>
      <rPr>
        <b/>
        <sz val="10"/>
        <rFont val="Aptos"/>
        <family val="2"/>
      </rPr>
      <t xml:space="preserve"> Lintel:</t>
    </r>
  </si>
  <si>
    <r>
      <t>For</t>
    </r>
    <r>
      <rPr>
        <b/>
        <sz val="10"/>
        <rFont val="Aptos"/>
        <family val="2"/>
      </rPr>
      <t xml:space="preserve"> Staircase:</t>
    </r>
  </si>
  <si>
    <r>
      <t>For</t>
    </r>
    <r>
      <rPr>
        <b/>
        <sz val="10"/>
        <rFont val="Aptos"/>
        <family val="2"/>
      </rPr>
      <t xml:space="preserve"> Slab:</t>
    </r>
  </si>
  <si>
    <r>
      <t>For</t>
    </r>
    <r>
      <rPr>
        <b/>
        <sz val="10"/>
        <rFont val="Aptos"/>
        <family val="2"/>
      </rPr>
      <t xml:space="preserve"> Slab edges:</t>
    </r>
  </si>
  <si>
    <r>
      <t>For</t>
    </r>
    <r>
      <rPr>
        <b/>
        <sz val="10"/>
        <rFont val="Aptos"/>
        <family val="2"/>
      </rPr>
      <t xml:space="preserve"> RCC Wall:</t>
    </r>
  </si>
  <si>
    <r>
      <rPr>
        <sz val="10"/>
        <rFont val="Aptos"/>
        <family val="2"/>
      </rPr>
      <t xml:space="preserve">For </t>
    </r>
    <r>
      <rPr>
        <b/>
        <sz val="10"/>
        <rFont val="Aptos"/>
        <family val="2"/>
      </rPr>
      <t>Chejja</t>
    </r>
  </si>
  <si>
    <r>
      <t xml:space="preserve">P/C.  </t>
    </r>
    <r>
      <rPr>
        <b/>
        <sz val="10"/>
        <rFont val="Aptos"/>
        <family val="2"/>
      </rPr>
      <t>brick masonary</t>
    </r>
    <r>
      <rPr>
        <sz val="10"/>
        <rFont val="Aptos"/>
        <family val="2"/>
      </rPr>
      <t xml:space="preserve"> in c.m. (1:6), using approved non modular bricks of standard size &amp; shape (class &amp; designation of 7.5)  in superstructure above plinth level up to floor V level including necessary centering, scaffolding, soaking the bricks in water before using in the masonry, raking the mortar joints, curing  etc., complete.
</t>
    </r>
  </si>
  <si>
    <r>
      <rPr>
        <b/>
        <sz val="10"/>
        <rFont val="Aptos"/>
        <family val="2"/>
      </rPr>
      <t xml:space="preserve">Half brick masonry </t>
    </r>
    <r>
      <rPr>
        <sz val="10"/>
        <rFont val="Aptos"/>
        <family val="2"/>
      </rPr>
      <t>with common burnt clay F.P.S. (non modular) bricks of class designation 7.5 in superstructure above plinth level up to floor V level. Cement mortar 1:4 (1 cement :4 coarse sand)</t>
    </r>
  </si>
  <si>
    <r>
      <t xml:space="preserve">Supply &amp; Fixing of </t>
    </r>
    <r>
      <rPr>
        <b/>
        <sz val="10"/>
        <rFont val="Aptos"/>
        <family val="2"/>
      </rPr>
      <t>Powder Coated Mild Steel doors</t>
    </r>
    <r>
      <rPr>
        <sz val="10"/>
        <rFont val="Aptos"/>
        <family val="2"/>
      </rPr>
      <t>, frames &amp; shutters made of Skin pass galvanized Iron sheet conforming to Base Steel as per IS 513 “D” Quality, Galvanized as per IS 277 with Hot Zinc Coating of 120 grams/ Sq.Mtr with powder coating of thickness 60-65 Microns, frame with 1.2mm thick Skin pass Galvanized Iron sheet formed to single rebate profile of ize 100 mm X 58 mm and filled with in-fill Polyurethane foam, the Door Shutters are with 0.80 mm thick Skin pass Galvanized Iron Sheet formed to provide a 46 mm thick fully flush, double skin door shell with Lock Seam joints at stile edges, fitted with in-fill of Honeycomb Kraft Paper and coated with polyester powders of Pure polyester/ epoxy polyester or polyurethane powder for powder coating of thickness 60 – 65 microns and are coated with Zinc Phosphate Primer to receive any paint on site or finished with Thermosetting Polyurethane paint of Aliphatic Grade providing high levels of scratch resistance and durability, the Shutter provided with 6 MM clear float vision glass in Circular, Square or Rectangular shapes, Stainless Steel Ball Bearing Butt Hinges 3 mm thick fixed flush to the frame and shutter (Profile 102x76x3mm thick).Mortise Sash Lock with Lever Handles, Mortise Dead Bolt, etc. The doors shall be manufactured post shop drawing approval from the client &amp; consultant.</t>
    </r>
  </si>
  <si>
    <r>
      <t xml:space="preserve">  -- do -- </t>
    </r>
    <r>
      <rPr>
        <b/>
        <sz val="10"/>
        <rFont val="Aptos"/>
        <family val="2"/>
      </rPr>
      <t>Emergency door</t>
    </r>
    <r>
      <rPr>
        <sz val="10"/>
        <rFont val="Aptos"/>
        <family val="2"/>
      </rPr>
      <t xml:space="preserve"> with s s  panic bar handle as per standard specification.</t>
    </r>
  </si>
  <si>
    <r>
      <t xml:space="preserve">Providing and fixing factory made single extruded </t>
    </r>
    <r>
      <rPr>
        <b/>
        <sz val="10"/>
        <rFont val="Aptos"/>
        <family val="2"/>
      </rPr>
      <t>WPC</t>
    </r>
    <r>
      <rPr>
        <sz val="10"/>
        <rFont val="Aptos"/>
        <family val="2"/>
      </rPr>
      <t xml:space="preserve"> (Wood Polymer Composite) solid door/window/Ceosetory windows &amp; other </t>
    </r>
    <r>
      <rPr>
        <b/>
        <sz val="10"/>
        <rFont val="Aptos"/>
        <family val="2"/>
      </rPr>
      <t>Frames</t>
    </r>
    <r>
      <rPr>
        <sz val="10"/>
        <rFont val="Aptos"/>
        <family val="2"/>
      </rPr>
      <t>/Chowkhat comprising of virgin PVC polymer of K value 58- 60 (Suspension Grade), calcium carbonate and natural fibers (wood powder/ rice husk/wheat husk) and non toxic additives (maximum toxicity index of 12 for 100 gms) fabricated with miter joints after applying PVC solvent cement and screwed with full body threaded Code Description Unit Rate No. 542 SUB HEAD : 26.0 NEW TECHNOLOGIES AND MATERIALS star headed SS screws having minimum frame density of 750 kg/ cum, screw withdrawal strength of 2200 N (Face) &amp; 1100 N (Edge), minimum compressive strength of 58 N/mm2, modulus of elasticity 900 N/mm2 and resistance to spread of flame of Class A category with property of being termite/borer proof, water/moisture proof and fire retardant and fixed in position with M.S hold fast/lugs/SS dash fasteners of required dia and length complete as per direction of Engineer-In- Charge. (M.S hold fast/lugs or SS dash fasteners shall be paid for separately).Note: For WPC solid door/window frames, minus 5mm tolerance in dimensions i.e depth and width of profile shall be acceptable. Variation in profile dimensions on plus side shall be acceptable but no extra payment on this account shall be made. Frame size 65 x 150 mm</t>
    </r>
  </si>
  <si>
    <r>
      <t xml:space="preserve">Providing &amp; fixing factory made </t>
    </r>
    <r>
      <rPr>
        <b/>
        <sz val="10"/>
        <rFont val="Aptos"/>
        <family val="2"/>
      </rPr>
      <t>Solid</t>
    </r>
    <r>
      <rPr>
        <sz val="10"/>
        <rFont val="Aptos"/>
        <family val="2"/>
      </rPr>
      <t xml:space="preserve"> </t>
    </r>
    <r>
      <rPr>
        <b/>
        <sz val="10"/>
        <rFont val="Aptos"/>
        <family val="2"/>
      </rPr>
      <t>PVC</t>
    </r>
    <r>
      <rPr>
        <sz val="10"/>
        <rFont val="Aptos"/>
        <family val="2"/>
      </rPr>
      <t xml:space="preserve"> </t>
    </r>
    <r>
      <rPr>
        <b/>
        <sz val="10"/>
        <rFont val="Aptos"/>
        <family val="2"/>
      </rPr>
      <t>Door frame</t>
    </r>
    <r>
      <rPr>
        <sz val="10"/>
        <rFont val="Aptos"/>
        <family val="2"/>
      </rPr>
      <t xml:space="preserve"> of size 50 X 47mm with a wall thickness of 5mm, made out of extruded 5mm rigid PVC foam sheet metered cut at corners &amp; jointed 2 No.s of 150mm long brackets of 15 X 15mm M.S Square tube, the entire door frame to be reinforced with 19 X 19mm M.S.Square tube of 19 guage. The door frame to be fixed to the wall using M.S. Screws of 65 / 80mm size complete as per manufacturers specification. The shutter shall be of  30mm thick rigid foam prelam made out of 19X19mm m.s. tube, 19gauge sheet for styles &amp; rails covered with heat moulded PVC sheets of 5mm thick with all necessary fittings &amp; fixtures etc. complete.</t>
    </r>
  </si>
  <si>
    <r>
      <t xml:space="preserve">Providing &amp; fixing 30mm thick factory made rigid </t>
    </r>
    <r>
      <rPr>
        <b/>
        <sz val="10"/>
        <rFont val="Aptos"/>
        <family val="2"/>
      </rPr>
      <t>foam Prelam Panelled Door Shutters</t>
    </r>
    <r>
      <rPr>
        <sz val="10"/>
        <rFont val="Aptos"/>
        <family val="2"/>
      </rPr>
      <t xml:space="preserve"> made from M.S. tube of 19X19mm, 19 gauge for styles and 15X15mm for top &amp; bottom rails, covered with heat moulded Prelaminated PVC 'C' Channel of 5mm thick sheet &amp; 30x50mm wide to form styles &amp; 5mm thick &amp; 75mm wide Prelaminated PVC Sheets for top rail, lock rail &amp; bottom rail on either side &amp; 5mm thick, 20mm wide cross PVC sheet as gap insert for top rail &amp; bottom rail, Panelling of 5mm thick PVC sheet Prelaminated on either side fitted in the M.S. frame, Sealed to the styles &amp; rails with PVC Designer beading on either side &amp; joined together with solvent cement adhensive etc., Complete as per manufacturers specification &amp; direction of Engineer-in-charge fixed to frames with 3 nos of 75mm. hinges. (including cost of fixtures ) </t>
    </r>
  </si>
  <si>
    <r>
      <t xml:space="preserve">Providing and fixing </t>
    </r>
    <r>
      <rPr>
        <b/>
        <sz val="10"/>
        <rFont val="Aptos"/>
        <family val="2"/>
      </rPr>
      <t xml:space="preserve">aluminium work </t>
    </r>
    <r>
      <rPr>
        <sz val="10"/>
        <rFont val="Aptos"/>
        <family val="2"/>
      </rPr>
      <t xml:space="preserve">for doors, </t>
    </r>
    <r>
      <rPr>
        <b/>
        <sz val="10"/>
        <rFont val="Aptos"/>
        <family val="2"/>
      </rPr>
      <t>windows, ventilators</t>
    </r>
    <r>
      <rPr>
        <sz val="10"/>
        <rFont val="Aptos"/>
        <family val="2"/>
      </rPr>
      <t xml:space="preserve"> and partitions with extruded built up standard tubular sections/appropriate Z sections and other sections of approved make conforming to IS: 733 and IS: 1285, fixing with dash fasteners of required dia and size, including necessary filling up the gaps at junctions, i.e. at top, bottom and sides with required EPDM rubber/ neoprene gasket, required nos of good quality bearings, locking arrangemnt like tower bolts, handles etc. Aluminium sections shall be smooth, rust free, straight, mitred and jointed mechanically wherever required including cleat angle, Aluminium snap beading for glazing / paneling, C.P. brass / stainless steel screws, all complete as per architectural drawings and the directions of Engineer-in-charge. (Glazing, paneling and dash fasteners to be paid for separately) : Powder coated aluminium (minimum thickness of powder coating 50 micron).</t>
    </r>
  </si>
  <si>
    <r>
      <t xml:space="preserve">Providing and fixing </t>
    </r>
    <r>
      <rPr>
        <b/>
        <sz val="10"/>
        <rFont val="Aptos"/>
        <family val="2"/>
      </rPr>
      <t>glazing in aluminium</t>
    </r>
    <r>
      <rPr>
        <sz val="10"/>
        <rFont val="Aptos"/>
        <family val="2"/>
      </rPr>
      <t xml:space="preserve"> door, window, ventilator</t>
    </r>
    <r>
      <rPr>
        <b/>
        <sz val="10"/>
        <rFont val="Aptos"/>
        <family val="2"/>
      </rPr>
      <t xml:space="preserve"> </t>
    </r>
    <r>
      <rPr>
        <sz val="10"/>
        <rFont val="Aptos"/>
        <family val="2"/>
      </rPr>
      <t>shutters and partitions etc. using approved make, plain float glass of 8mm th. confirming to IS: 2835-1977 with EPDM rubber / neoprene gasket etc. complete as per the architectural drawings and the directions of engineer-in-charge .</t>
    </r>
  </si>
  <si>
    <r>
      <t xml:space="preserve">Providing and fixing </t>
    </r>
    <r>
      <rPr>
        <b/>
        <sz val="10"/>
        <rFont val="Aptos"/>
        <family val="2"/>
      </rPr>
      <t xml:space="preserve">aluminium tubular handle </t>
    </r>
    <r>
      <rPr>
        <sz val="10"/>
        <rFont val="Aptos"/>
        <family val="2"/>
      </rPr>
      <t xml:space="preserve">bar 32 mm outer dia, 3.0 mm thick &amp; 2100 mm long with SS screws and fixing Brass 100mm </t>
    </r>
    <r>
      <rPr>
        <b/>
        <sz val="10"/>
        <rFont val="Aptos"/>
        <family val="2"/>
      </rPr>
      <t>mortice latch and lock</t>
    </r>
    <r>
      <rPr>
        <sz val="10"/>
        <rFont val="Aptos"/>
        <family val="2"/>
      </rPr>
      <t xml:space="preserve"> with 6 levers for aluminium doors including necessary cutting and making good etc. complete.</t>
    </r>
  </si>
  <si>
    <r>
      <t xml:space="preserve">Providing and fixing </t>
    </r>
    <r>
      <rPr>
        <b/>
        <sz val="10"/>
        <rFont val="Aptos"/>
        <family val="2"/>
      </rPr>
      <t>glazing in aluminium</t>
    </r>
    <r>
      <rPr>
        <sz val="10"/>
        <rFont val="Aptos"/>
        <family val="2"/>
      </rPr>
      <t xml:space="preserve"> door, </t>
    </r>
    <r>
      <rPr>
        <b/>
        <sz val="10"/>
        <rFont val="Aptos"/>
        <family val="2"/>
      </rPr>
      <t xml:space="preserve">window, ventilator </t>
    </r>
    <r>
      <rPr>
        <sz val="10"/>
        <rFont val="Aptos"/>
        <family val="2"/>
      </rPr>
      <t>shutters and partitions etc. using approved make, plain float glass of 4mm th. confirming to IS: 2835-1977 with EPDM rubber / neoprene gasket etc. complete as per the architectural drawings and the directions of engineer-in-charge .</t>
    </r>
  </si>
  <si>
    <r>
      <t xml:space="preserve">Providing &amp; fixing fly proof wire gauze to windows, clerestory windows &amp; doors with M.S. Flat 15x3 mm and nuts &amp; bolts complete. Stainless steel (grade 304) wire gauze of 0.5 mm dia wire and 1.4 mm aperture on both sides. </t>
    </r>
    <r>
      <rPr>
        <b/>
        <sz val="10"/>
        <rFont val="Aptos"/>
        <family val="2"/>
      </rPr>
      <t>S.S.Fly Mesh</t>
    </r>
  </si>
  <si>
    <r>
      <t xml:space="preserve">Providing and fixing </t>
    </r>
    <r>
      <rPr>
        <b/>
        <sz val="10"/>
        <rFont val="Aptos"/>
        <family val="2"/>
      </rPr>
      <t>M.S.grill</t>
    </r>
    <r>
      <rPr>
        <sz val="10"/>
        <rFont val="Aptos"/>
        <family val="2"/>
      </rPr>
      <t xml:space="preserve"> approved pattern using M.S.flats, or M.S.square rods, or combination of M.S.flats and square rods as per approved design, drawing including cutting steel sections and welding the same to required pattern with two coat of enamel painting over a coat of red lead primer, cost of materials, fixtures, labour and HOM of machinery complete as per specifications.</t>
    </r>
  </si>
  <si>
    <r>
      <t xml:space="preserve">P/F. manually operated gear systems for pull &amp; push type </t>
    </r>
    <r>
      <rPr>
        <b/>
        <sz val="10"/>
        <rFont val="Aptos"/>
        <family val="2"/>
      </rPr>
      <t xml:space="preserve">rolling shutters </t>
    </r>
    <r>
      <rPr>
        <sz val="10"/>
        <rFont val="Aptos"/>
        <family val="2"/>
      </rPr>
      <t>made out of 18 gauge X 7.50 cms. Mild steel lathes of convex corrugations complete with side guides and bottom rails with interlocking arrangements for steel lathes by means of alternate end clips, suspension shaft with high tension coil type springs, 2 nos.of internal locks per set, providing &amp; fixing handles, 18 guage top cover, pulling hooks and other requirement accessories including painting 2 coats of synthetic enamel paint of approved make &amp; shade over 2 coats of primer etc. complete.</t>
    </r>
  </si>
  <si>
    <r>
      <t xml:space="preserve">PlF. </t>
    </r>
    <r>
      <rPr>
        <b/>
        <sz val="10"/>
        <rFont val="Aptos"/>
        <family val="2"/>
      </rPr>
      <t>S.S. railing</t>
    </r>
    <r>
      <rPr>
        <sz val="10"/>
        <rFont val="Aptos"/>
        <family val="2"/>
      </rPr>
      <t xml:space="preserve"> using 304 grade stainless steel, satin finished pipes, 50mm dia for vertical at 750 mm c/c, 65mm dia for top rail, 25mm dia pipes, 3nos for horizontal at equal spacing, 900mm height  including fixing using alll necessary fixtures, specials etc. complete.</t>
    </r>
  </si>
  <si>
    <r>
      <t xml:space="preserve">Providing, fabricating and fixing of stick type </t>
    </r>
    <r>
      <rPr>
        <b/>
        <sz val="10"/>
        <rFont val="Aptos"/>
        <family val="2"/>
      </rPr>
      <t>structural glazing</t>
    </r>
    <r>
      <rPr>
        <sz val="10"/>
        <rFont val="Aptos"/>
        <family val="2"/>
      </rPr>
      <t xml:space="preserve"> using Alluminium Extrusions of 63.5mm58.00mm2.25mm of 1.73kgs/mtr for vertical and Horizontal members and 63.5mm38.11.33mm of 0.759kg/Mtr, as outer frame with Electro Anodized Paint coated block finishing, using 6mm thick imported glass reflective hard coated ocean blue raw glass with all necessary accesories like ultra glass Silicon sealant of Space tape, Masking tape, Galvanized Anchaor bolt, machine screws, 6mm thick M.S. angle 50mm150mm6mm M.S. Galvanized L Brackets, structural sealent setting clocks, fasteners, wall connection etc., complete.</t>
    </r>
  </si>
  <si>
    <r>
      <t xml:space="preserve">Designing, fabricating, testing, installing and fixing in position Curtain Wall with </t>
    </r>
    <r>
      <rPr>
        <b/>
        <sz val="10"/>
        <rFont val="Aptos"/>
        <family val="2"/>
      </rPr>
      <t>Aluminium Composite Panel Cladding</t>
    </r>
    <r>
      <rPr>
        <sz val="10"/>
        <rFont val="Aptos"/>
        <family val="2"/>
      </rPr>
      <t>, with open grooves for linear as well as curvilinear portions of the building , for all heights and all levels etc. including: (a) Structural analysis &amp; design and preparation of shop drawings for pressure equalisation or rain screen principle as required, proper drainage of water to make it watertight including checking of all the structural and functional design. Providing, fabricating and supplying and fixing panels of aluminium composite panel cladding in pan shape in metalic colour of approved shades made out of 4mm thick aluminium composite panel material consisting of 3mm thick FR grade mineral core sandwiched between two Aluminium sheets (each 0.5mm thick). The aluminium composite panel cladding sheet shall be coil coated, with Kynar 500 based PVDF / Lumiflon based fluoropolymer resin coating of approved colour and shade on face # 1 and polymer (Service) coating on face # 2 as specified using stainless steel screws, nuts, bolts, washers, cleats, weather silicone sealant,
backer rods etc.</t>
    </r>
  </si>
  <si>
    <r>
      <t xml:space="preserve">Providing &amp; </t>
    </r>
    <r>
      <rPr>
        <b/>
        <sz val="10"/>
        <rFont val="Aptos"/>
        <family val="2"/>
      </rPr>
      <t>plastering</t>
    </r>
    <r>
      <rPr>
        <sz val="10"/>
        <rFont val="Aptos"/>
        <family val="2"/>
      </rPr>
      <t xml:space="preserve"> in c.m.(1:3),12mm thick using approved seived, clean river sand for </t>
    </r>
    <r>
      <rPr>
        <b/>
        <sz val="10"/>
        <rFont val="Aptos"/>
        <family val="2"/>
      </rPr>
      <t>R.C.C. surfaces, ceilings of slab, portico</t>
    </r>
    <r>
      <rPr>
        <sz val="10"/>
        <rFont val="Aptos"/>
        <family val="2"/>
      </rPr>
      <t xml:space="preserve"> etc., either sand face finish or smooth finish with lime rendering, rounding off the corners(10mm X 10mm size), with necessary scaffolding, curing etc.,complete.</t>
    </r>
  </si>
  <si>
    <r>
      <t xml:space="preserve">Providing &amp; </t>
    </r>
    <r>
      <rPr>
        <b/>
        <sz val="10"/>
        <rFont val="Aptos"/>
        <family val="2"/>
      </rPr>
      <t xml:space="preserve">plastering </t>
    </r>
    <r>
      <rPr>
        <sz val="10"/>
        <rFont val="Aptos"/>
        <family val="2"/>
      </rPr>
      <t>walls with C.M.(1:4), 20mm thick using approved clean, sieved river sand for brick masonry/stone masonry surfaces, with smooth finishing  for</t>
    </r>
    <r>
      <rPr>
        <b/>
        <sz val="10"/>
        <rFont val="Aptos"/>
        <family val="2"/>
      </rPr>
      <t xml:space="preserve"> internal walls</t>
    </r>
    <r>
      <rPr>
        <sz val="10"/>
        <rFont val="Aptos"/>
        <family val="2"/>
      </rPr>
      <t xml:space="preserve"> including neat finishing, rounding off  the corners, making grooves, putties etc., as required with necessary centering and scaffoldings, curing etc., complete.</t>
    </r>
  </si>
  <si>
    <r>
      <t>Providing</t>
    </r>
    <r>
      <rPr>
        <b/>
        <sz val="10"/>
        <rFont val="Aptos"/>
        <family val="2"/>
      </rPr>
      <t xml:space="preserve"> rough cement plastering</t>
    </r>
    <r>
      <rPr>
        <sz val="10"/>
        <rFont val="Aptos"/>
        <family val="2"/>
      </rPr>
      <t xml:space="preserve"> 15mm thick in single coat with cement mortar 1:4, to brick masonry for base of dadooing works with sand of approved quality, providing and removing scaffolding, including cost of materials, labour, curing complete as per specifications.</t>
    </r>
  </si>
  <si>
    <r>
      <t xml:space="preserve">Providing </t>
    </r>
    <r>
      <rPr>
        <b/>
        <sz val="10"/>
        <rFont val="Aptos"/>
        <family val="2"/>
      </rPr>
      <t xml:space="preserve">sand finish plaster </t>
    </r>
    <r>
      <rPr>
        <sz val="10"/>
        <rFont val="Aptos"/>
        <family val="2"/>
      </rPr>
      <t>20mm thick</t>
    </r>
    <r>
      <rPr>
        <b/>
        <sz val="10"/>
        <rFont val="Aptos"/>
        <family val="2"/>
      </rPr>
      <t xml:space="preserve"> </t>
    </r>
    <r>
      <rPr>
        <sz val="10"/>
        <rFont val="Aptos"/>
        <family val="2"/>
      </rPr>
      <t>to walls in two coats with the base coat of 12 mm thick in C.M(1:3), finishing second coat 8mm thick sand finish using coarse sand including  making12mm to 18mm wide,12mm deep grooves, putties upto 75mm wide,12mm thick etc., as required with necessary centering and scaffoldings, curing etc. complete.</t>
    </r>
  </si>
  <si>
    <r>
      <t xml:space="preserve">Providing 20mm thick cement plaster in single coat with cement mortar 1:3,  to stone masonry &amp; concrete surface including rounding off corners wherever required smooth rendering, : Providing and removing scaffolding, including cost of materials, labour, curing complete as per specifications including mixing of </t>
    </r>
    <r>
      <rPr>
        <u/>
        <sz val="10"/>
        <rFont val="Aptos"/>
        <family val="2"/>
      </rPr>
      <t>Fosroc Conplast WP90 powder</t>
    </r>
    <r>
      <rPr>
        <sz val="10"/>
        <rFont val="Aptos"/>
        <family val="2"/>
      </rPr>
      <t xml:space="preserve"> waterproof compound (1Kg/Bag of cement) </t>
    </r>
  </si>
  <si>
    <r>
      <t xml:space="preserve">Providing &amp; making plaster </t>
    </r>
    <r>
      <rPr>
        <b/>
        <sz val="10"/>
        <rFont val="Aptos"/>
        <family val="2"/>
      </rPr>
      <t>grooves</t>
    </r>
    <r>
      <rPr>
        <sz val="10"/>
        <rFont val="Aptos"/>
        <family val="2"/>
      </rPr>
      <t xml:space="preserve"> up to 12mm to 18mm wide, 12mm deep and </t>
    </r>
    <r>
      <rPr>
        <b/>
        <sz val="10"/>
        <rFont val="Aptos"/>
        <family val="2"/>
      </rPr>
      <t>patti</t>
    </r>
    <r>
      <rPr>
        <sz val="10"/>
        <rFont val="Aptos"/>
        <family val="2"/>
      </rPr>
      <t xml:space="preserve"> upto 75mm wide, 12mm thick in c.m. 1:3  on green plaster including rement rendering, neat finishing to correct line &amp; plumb etc. complete.</t>
    </r>
  </si>
  <si>
    <r>
      <t xml:space="preserve">P/F  30mm thick, machine cut &amp; </t>
    </r>
    <r>
      <rPr>
        <b/>
        <sz val="10"/>
        <rFont val="Aptos"/>
        <family val="2"/>
      </rPr>
      <t xml:space="preserve">river / leather finish Rajashree red </t>
    </r>
    <r>
      <rPr>
        <sz val="10"/>
        <rFont val="Aptos"/>
        <family val="2"/>
      </rPr>
      <t xml:space="preserve">approved shade </t>
    </r>
    <r>
      <rPr>
        <b/>
        <sz val="10"/>
        <rFont val="Aptos"/>
        <family val="2"/>
      </rPr>
      <t xml:space="preserve">granite </t>
    </r>
    <r>
      <rPr>
        <sz val="10"/>
        <rFont val="Aptos"/>
        <family val="2"/>
      </rPr>
      <t xml:space="preserve">stone slab using approved quality, uniformely shaded stone slabs of approved size set with ARDEX - ENDURA or approved polimer modified tile /stone adhesive (GOLD STAR), laid to correct level with 6mm spacer joints filled with approved food grade epoxy (ARDEX - ENDURA or equivalent approved make, shade, high performance epoxy grout), full depth, with approved colour, washing, neat finishing, curing etc., complete. </t>
    </r>
  </si>
  <si>
    <r>
      <t xml:space="preserve"> ---- do ----- for </t>
    </r>
    <r>
      <rPr>
        <b/>
        <sz val="10"/>
        <rFont val="Aptos"/>
        <family val="2"/>
      </rPr>
      <t xml:space="preserve">staircase &amp; steps </t>
    </r>
    <r>
      <rPr>
        <sz val="10"/>
        <rFont val="Aptos"/>
        <family val="2"/>
      </rPr>
      <t>set in c.m. (1:4), using mirror polished granite slabs o approved shade, including full rounding of exposed edges, mirror polishing etc. complete.</t>
    </r>
  </si>
  <si>
    <r>
      <t>Extra for pre finished</t>
    </r>
    <r>
      <rPr>
        <b/>
        <sz val="10"/>
        <rFont val="Aptos"/>
        <family val="2"/>
      </rPr>
      <t xml:space="preserve"> Nosing</t>
    </r>
    <r>
      <rPr>
        <sz val="10"/>
        <rFont val="Aptos"/>
        <family val="2"/>
      </rPr>
      <t xml:space="preserve"> to treads of </t>
    </r>
    <r>
      <rPr>
        <b/>
        <sz val="10"/>
        <rFont val="Aptos"/>
        <family val="2"/>
      </rPr>
      <t>steps</t>
    </r>
    <r>
      <rPr>
        <sz val="10"/>
        <rFont val="Aptos"/>
        <family val="2"/>
      </rPr>
      <t xml:space="preserve"> of granite stone.</t>
    </r>
  </si>
  <si>
    <r>
      <t>Providing and fixing 18 mm thick gang saw cut, mirror polished, premoulded and prepolished, machine cut for kitchen platforms, vanity counters,</t>
    </r>
    <r>
      <rPr>
        <b/>
        <sz val="10"/>
        <rFont val="Aptos"/>
        <family val="2"/>
      </rPr>
      <t xml:space="preserve"> window sills</t>
    </r>
    <r>
      <rPr>
        <sz val="10"/>
        <rFont val="Aptos"/>
        <family val="2"/>
      </rPr>
      <t>, facias and similar locations of required size, approved shade, colour and texture laid over 20 mm thick base cement mortar 1:4 (1 cement : 4 coarse sand), joints treated with white cement, mixed with matching pigment, epoxy touch ups, including rubbing, curing, moulding and polishing to edges to give high gloss finish etc. complete at all levels.</t>
    </r>
  </si>
  <si>
    <r>
      <t xml:space="preserve">P/F double charge, full body </t>
    </r>
    <r>
      <rPr>
        <b/>
        <sz val="10"/>
        <rFont val="Aptos"/>
        <family val="2"/>
      </rPr>
      <t>Vitrified tiles</t>
    </r>
    <r>
      <rPr>
        <sz val="10"/>
        <rFont val="Aptos"/>
        <family val="2"/>
      </rPr>
      <t xml:space="preserve"> </t>
    </r>
    <r>
      <rPr>
        <b/>
        <sz val="10"/>
        <rFont val="Aptos"/>
        <family val="2"/>
      </rPr>
      <t xml:space="preserve">flooring </t>
    </r>
    <r>
      <rPr>
        <sz val="10"/>
        <rFont val="Aptos"/>
        <family val="2"/>
      </rPr>
      <t xml:space="preserve">using 600X600mm tiles of 10 to 12mm thick, approved make &amp; shade, set in c.m. 1:6 laid to correct level, with paper joints filled with white cement slurry mixed with approved pigment, etc., complete. </t>
    </r>
  </si>
  <si>
    <r>
      <t xml:space="preserve"> ----- do ---- for  </t>
    </r>
    <r>
      <rPr>
        <b/>
        <sz val="10"/>
        <rFont val="Aptos"/>
        <family val="2"/>
      </rPr>
      <t>Vitrified skirting</t>
    </r>
    <r>
      <rPr>
        <sz val="10"/>
        <rFont val="Aptos"/>
        <family val="2"/>
      </rPr>
      <t xml:space="preserve">, 100mm high,including neat finishing as per details. </t>
    </r>
  </si>
  <si>
    <r>
      <t xml:space="preserve">Providing &amp; fixing </t>
    </r>
    <r>
      <rPr>
        <b/>
        <sz val="10"/>
        <rFont val="Aptos"/>
        <family val="2"/>
      </rPr>
      <t xml:space="preserve">Vitrified  tile daddoing </t>
    </r>
    <r>
      <rPr>
        <sz val="10"/>
        <rFont val="Aptos"/>
        <family val="2"/>
      </rPr>
      <t>using 600X600X10-12mm size double charge, full body Vitrified tiles from approved make fixied on the wall using ARDEX-ENDURA (SILVER STAR) or equivalent approved tile fixing adhesive as per details.</t>
    </r>
  </si>
  <si>
    <r>
      <t>P/F  machine cut &amp; double polished</t>
    </r>
    <r>
      <rPr>
        <b/>
        <sz val="10"/>
        <rFont val="Aptos"/>
        <family val="2"/>
      </rPr>
      <t xml:space="preserve"> Kota green </t>
    </r>
    <r>
      <rPr>
        <sz val="10"/>
        <rFont val="Aptos"/>
        <family val="2"/>
      </rPr>
      <t>stone slab</t>
    </r>
    <r>
      <rPr>
        <b/>
        <sz val="10"/>
        <rFont val="Aptos"/>
        <family val="2"/>
      </rPr>
      <t xml:space="preserve"> flooring</t>
    </r>
    <r>
      <rPr>
        <sz val="10"/>
        <rFont val="Aptos"/>
        <family val="2"/>
      </rPr>
      <t xml:space="preserve"> using approved quality, uniformely shaded stone slabs of 600mm X 600mm X  25-30mm thick, set in c.m. 1:6, laid to correct level, perfect  6mm wide spacer joints fillied with cement polymer grout (ARDEX-ENDURA or approved make, food grade in approved shade), full depth, machine polishing, washing, neat mirror finishing, curing etc., complete. </t>
    </r>
  </si>
  <si>
    <r>
      <t>P/F approved make  &amp; shade</t>
    </r>
    <r>
      <rPr>
        <b/>
        <sz val="10"/>
        <rFont val="Aptos"/>
        <family val="2"/>
      </rPr>
      <t xml:space="preserve"> ceramic tiles </t>
    </r>
    <r>
      <rPr>
        <sz val="10"/>
        <rFont val="Aptos"/>
        <family val="2"/>
      </rPr>
      <t xml:space="preserve">flooring using approved make, shade, finish not less than 300X300X8-10mm size for flooring with satin finish, set in C.M.(1:3) pointing the joints using white cement with approved coloured pigment, grinding the edges of the tiles and making correct joints, neat cutting wherever required, curing etc., complete. </t>
    </r>
  </si>
  <si>
    <r>
      <t>P/F glazed ceramic tiles for</t>
    </r>
    <r>
      <rPr>
        <b/>
        <sz val="10"/>
        <rFont val="Aptos"/>
        <family val="2"/>
      </rPr>
      <t xml:space="preserve"> dadooing</t>
    </r>
    <r>
      <rPr>
        <sz val="10"/>
        <rFont val="Aptos"/>
        <family val="2"/>
      </rPr>
      <t xml:space="preserve"> using approved make, shade, finish not less than 300mm X 600X8-10mm size tiles set in c.m.(1:3), pointing the joints using white cement with approved coloured pigment, grinding the edges of the tiles and making correct joints, neat cutting wherever required, curing including levelling plastering in c.m. 1:3 as per details. etc., complete.  </t>
    </r>
  </si>
  <si>
    <r>
      <rPr>
        <b/>
        <sz val="10"/>
        <rFont val="Aptos"/>
        <family val="2"/>
      </rPr>
      <t xml:space="preserve">100 mm thick cement concrete flooring </t>
    </r>
    <r>
      <rPr>
        <sz val="10"/>
        <rFont val="Aptos"/>
        <family val="2"/>
      </rPr>
      <t>with concrete hardener topping, under layer 50 mm thick cement concrete 1:2:4 (1 cement : 2 coarse sand : 4 graded stone aggregate 20mm nominal size) and top layer 12mm thick cement hardener consisting of mix 1:2 (1 cement hardener mix : 2 graded stone aggregate, 6mm nominal size) by volume, hardening compound mixed @ 2 litre per 50 kg of cement or as per manufacture’s specifications. This includes cost of cement slurry, but excluding the cost of nosing of steps etc. complete.</t>
    </r>
  </si>
  <si>
    <r>
      <t xml:space="preserve">Providing </t>
    </r>
    <r>
      <rPr>
        <b/>
        <sz val="10"/>
        <rFont val="Aptos"/>
        <family val="2"/>
      </rPr>
      <t>Concrete</t>
    </r>
    <r>
      <rPr>
        <sz val="10"/>
        <rFont val="Aptos"/>
        <family val="2"/>
      </rPr>
      <t xml:space="preserve"> </t>
    </r>
    <r>
      <rPr>
        <b/>
        <sz val="10"/>
        <rFont val="Aptos"/>
        <family val="2"/>
      </rPr>
      <t xml:space="preserve">Coving </t>
    </r>
    <r>
      <rPr>
        <sz val="10"/>
        <rFont val="Aptos"/>
        <family val="2"/>
      </rPr>
      <t xml:space="preserve">in floor &amp; wall junction, 75X75mm size using M25 grade concrete including neat finishing, curing etc complete as per details. </t>
    </r>
  </si>
  <si>
    <r>
      <t>P/F P.V.C.</t>
    </r>
    <r>
      <rPr>
        <b/>
        <sz val="10"/>
        <rFont val="Aptos"/>
        <family val="2"/>
      </rPr>
      <t xml:space="preserve"> rainwater pipes </t>
    </r>
    <r>
      <rPr>
        <sz val="10"/>
        <rFont val="Aptos"/>
        <family val="2"/>
      </rPr>
      <t>using 110 mm dia. 6Kg P.V.C. pipes including necessary fittings and fixtures (Astral, Supreme, Ashrivad)..</t>
    </r>
  </si>
  <si>
    <r>
      <t>Providing and painting</t>
    </r>
    <r>
      <rPr>
        <b/>
        <sz val="10"/>
        <rFont val="Aptos"/>
        <family val="2"/>
      </rPr>
      <t xml:space="preserve"> </t>
    </r>
    <r>
      <rPr>
        <sz val="10"/>
        <rFont val="Aptos"/>
        <family val="2"/>
      </rPr>
      <t xml:space="preserve">2 coats of </t>
    </r>
    <r>
      <rPr>
        <b/>
        <sz val="10"/>
        <rFont val="Aptos"/>
        <family val="2"/>
      </rPr>
      <t xml:space="preserve">plastic emulsion paint (Acrylic Emulsion) </t>
    </r>
    <r>
      <rPr>
        <sz val="10"/>
        <rFont val="Aptos"/>
        <family val="2"/>
      </rPr>
      <t>of approved make and colour over primer coat, including sand papering &amp; preparing the surface  etc. complete.</t>
    </r>
  </si>
  <si>
    <r>
      <t xml:space="preserve">Providing &amp; painting 2 coats of </t>
    </r>
    <r>
      <rPr>
        <b/>
        <sz val="10"/>
        <rFont val="Aptos"/>
        <family val="2"/>
      </rPr>
      <t xml:space="preserve">anti-fungal emulsion paint (Weather shield)  </t>
    </r>
    <r>
      <rPr>
        <sz val="10"/>
        <rFont val="Aptos"/>
        <family val="2"/>
      </rPr>
      <t>of approved make  &amp; colour over a coat of  primer including prepartion of surface, sand papering, removal of cement droppings,  etc., complete.</t>
    </r>
  </si>
  <si>
    <r>
      <t xml:space="preserve">Providing and injecting chemical emulsion for Preconstructional </t>
    </r>
    <r>
      <rPr>
        <b/>
        <sz val="10"/>
        <rFont val="Aptos"/>
        <family val="2"/>
      </rPr>
      <t>Anti-Termite Treatment</t>
    </r>
    <r>
      <rPr>
        <sz val="10"/>
        <rFont val="Aptos"/>
        <family val="2"/>
      </rPr>
      <t>, creating continuous chemical barrier under and around the column pits, walls, trenches, basement excavation, top surface of the plinth filling, junction of wall and floor, along the external perimeter of building, expansion joints, over the top surface of consolidated earth on which apron is to be laid, surrounding of pipes and conduits, with chloropyriphos emulsifiable concentrates of 20% concentration, including cost of chemical, diluting in water to one percent concentration, labour, HOM of equipments, complete as per specifications. (Plinth area of the building at ground floor only shall be measured ) .</t>
    </r>
  </si>
  <si>
    <r>
      <t xml:space="preserve">P/f. </t>
    </r>
    <r>
      <rPr>
        <b/>
        <sz val="10"/>
        <rFont val="Aptos"/>
        <family val="2"/>
      </rPr>
      <t>M.S. Tubular Trusses, Purlines</t>
    </r>
    <r>
      <rPr>
        <sz val="10"/>
        <rFont val="Aptos"/>
        <family val="2"/>
      </rPr>
      <t xml:space="preserve">, bracings etc (YST 310 Grade) as per details &amp; drawings with necessary straightening, bending to the requried profile, profile cutting, welding, painting 2 coats of anti corrossive paint in approved shade over 2 coats of primer putti work, errection &amp; fixing in position as per directions. </t>
    </r>
  </si>
  <si>
    <r>
      <t>P/F. Colour coated G.I.</t>
    </r>
    <r>
      <rPr>
        <b/>
        <sz val="10"/>
        <rFont val="Aptos"/>
        <family val="2"/>
      </rPr>
      <t xml:space="preserve"> Roofing Sheets  </t>
    </r>
    <r>
      <rPr>
        <sz val="10"/>
        <rFont val="Aptos"/>
        <family val="2"/>
      </rPr>
      <t>using 0.47mm thick, coating AZ 150, yeild strength 550 MPA from ISI approved make &amp; colour with accessories such as, self tapping screws, neoprene washers etc. for fixing of the sheets as per details &amp; manufacturer's specifications.</t>
    </r>
  </si>
  <si>
    <r>
      <t xml:space="preserve">Providing and fixing </t>
    </r>
    <r>
      <rPr>
        <b/>
        <sz val="10"/>
        <rFont val="Aptos"/>
        <family val="2"/>
      </rPr>
      <t>plaster mesh</t>
    </r>
    <r>
      <rPr>
        <sz val="10"/>
        <rFont val="Aptos"/>
        <family val="2"/>
      </rPr>
      <t xml:space="preserve"> (chicken mesh)200mm wide  manufactured out of hot dipped galvanised iron of nominal thickness 0.35mm with a zinc coating of 120gms per sqm width, along route of walls chipped for services, junction between RCC and brick walls  including cost of materials, labour for fixing complete  as per specifications.  ( length of mesh only be measured for payment )</t>
    </r>
  </si>
  <si>
    <r>
      <t xml:space="preserve">Steel work welded in built up sections/ framed work, including cutting, hoisting, fixing in position and applying a priming coat of approved steel primer using structural steel etc. as required. In gratings, frames, guard bar, ladder, railings, brackets, gates and similar works For </t>
    </r>
    <r>
      <rPr>
        <b/>
        <sz val="10"/>
        <rFont val="Aptos"/>
        <family val="2"/>
      </rPr>
      <t>M.S Chamber COVERS</t>
    </r>
  </si>
  <si>
    <r>
      <t xml:space="preserve">Providing and laying integral cement based </t>
    </r>
    <r>
      <rPr>
        <b/>
        <sz val="10"/>
        <rFont val="Aptos"/>
        <family val="2"/>
      </rPr>
      <t>waterproofing treatment</t>
    </r>
    <r>
      <rPr>
        <sz val="10"/>
        <rFont val="Aptos"/>
        <family val="2"/>
      </rPr>
      <t xml:space="preserve"> iincluding preparation of surface as requried for treatment of roofs, balconies, terrace etc., consisting of following application. (a)Applying ang grouting a slurry coat of neat cement using 2.75kg/sqm of cement admixed  with properly water proofing compound conforming to IS:2645 over the RCC slab after cleaning the surface before treatment. (b) Laying cement concrete using broken brick bats 25mm to 100mm size with 50% of cement mortar 1:5 admixed with proprietary water proffing compound conforming IS:2645 over 20mm thick layer of cement mortar 1:5 admixed with proprietary water proofing compound to required slope and treating similarly the adjoining walls upto 300mm height including rounding off junctions of walls and slabs. </t>
    </r>
  </si>
  <si>
    <r>
      <t xml:space="preserve">Providing &amp; </t>
    </r>
    <r>
      <rPr>
        <b/>
        <sz val="10"/>
        <rFont val="Aptos"/>
        <family val="2"/>
      </rPr>
      <t>filling sunken slab</t>
    </r>
    <r>
      <rPr>
        <sz val="10"/>
        <rFont val="Aptos"/>
        <family val="2"/>
      </rPr>
      <t xml:space="preserve"> with brickbats in c.m. 1:3, including cleaning the surface, waterpoof plastering in c.m. 1:3, providing &amp; laying 75mm thick PCC 1:1.5:3 at top, applying a coat of brush bond or equivalent approved make water repelant paint before filling the brick bats etc. complete as per specifications.</t>
    </r>
  </si>
  <si>
    <r>
      <t xml:space="preserve">Providing, Fabricating and fixing in position </t>
    </r>
    <r>
      <rPr>
        <b/>
        <sz val="10"/>
        <rFont val="Aptos"/>
        <family val="2"/>
      </rPr>
      <t xml:space="preserve">S.S. fabrication </t>
    </r>
    <r>
      <rPr>
        <sz val="10"/>
        <rFont val="Aptos"/>
        <family val="2"/>
      </rPr>
      <t>works using standard section like tubes, pipes, angles, , plates, bars etc as per details &amp; drawings with necessary straightening, bending to the requried profile, profile cutting, welding, errection &amp; fixing in position as per directions.</t>
    </r>
  </si>
  <si>
    <r>
      <t xml:space="preserve">For </t>
    </r>
    <r>
      <rPr>
        <b/>
        <sz val="10"/>
        <rFont val="Aptos"/>
        <family val="2"/>
      </rPr>
      <t xml:space="preserve">column footing </t>
    </r>
    <r>
      <rPr>
        <sz val="10"/>
        <rFont val="Aptos"/>
        <family val="2"/>
      </rPr>
      <t>with M25:</t>
    </r>
  </si>
  <si>
    <r>
      <t>For</t>
    </r>
    <r>
      <rPr>
        <b/>
        <sz val="10"/>
        <rFont val="Aptos"/>
        <family val="2"/>
      </rPr>
      <t xml:space="preserve"> Columns, </t>
    </r>
    <r>
      <rPr>
        <sz val="10"/>
        <rFont val="Aptos"/>
        <family val="2"/>
      </rPr>
      <t xml:space="preserve">rectangular / square / circular / L shape with M25: </t>
    </r>
  </si>
  <si>
    <r>
      <t>For</t>
    </r>
    <r>
      <rPr>
        <b/>
        <sz val="10"/>
        <rFont val="Aptos"/>
        <family val="2"/>
      </rPr>
      <t xml:space="preserve"> Plinth Beam </t>
    </r>
    <r>
      <rPr>
        <sz val="10"/>
        <rFont val="Aptos"/>
        <family val="2"/>
      </rPr>
      <t>with M25:</t>
    </r>
  </si>
  <si>
    <r>
      <t>For</t>
    </r>
    <r>
      <rPr>
        <b/>
        <sz val="10"/>
        <rFont val="Aptos"/>
        <family val="2"/>
      </rPr>
      <t xml:space="preserve">  Lintel </t>
    </r>
    <r>
      <rPr>
        <sz val="10"/>
        <rFont val="Aptos"/>
        <family val="2"/>
      </rPr>
      <t>with M25:</t>
    </r>
  </si>
  <si>
    <r>
      <t xml:space="preserve">For </t>
    </r>
    <r>
      <rPr>
        <b/>
        <sz val="10"/>
        <rFont val="Aptos"/>
        <family val="2"/>
      </rPr>
      <t xml:space="preserve">Beam </t>
    </r>
    <r>
      <rPr>
        <sz val="10"/>
        <rFont val="Aptos"/>
        <family val="2"/>
      </rPr>
      <t>with M25:</t>
    </r>
  </si>
  <si>
    <r>
      <t>For</t>
    </r>
    <r>
      <rPr>
        <b/>
        <sz val="10"/>
        <rFont val="Aptos"/>
        <family val="2"/>
      </rPr>
      <t xml:space="preserve"> RCC Chejja </t>
    </r>
    <r>
      <rPr>
        <sz val="10"/>
        <rFont val="Aptos"/>
        <family val="2"/>
      </rPr>
      <t>75mm thick including making drip moulds, waterproof plastering on top etc complete:</t>
    </r>
  </si>
  <si>
    <r>
      <t>For</t>
    </r>
    <r>
      <rPr>
        <b/>
        <sz val="10"/>
        <rFont val="Aptos"/>
        <family val="2"/>
      </rPr>
      <t xml:space="preserve"> Chejja</t>
    </r>
  </si>
  <si>
    <r>
      <t xml:space="preserve">P/L. </t>
    </r>
    <r>
      <rPr>
        <b/>
        <sz val="10"/>
        <rFont val="Aptos"/>
        <family val="2"/>
      </rPr>
      <t>C.C. 1:2:4 flooring</t>
    </r>
    <r>
      <rPr>
        <sz val="10"/>
        <rFont val="Aptos"/>
        <family val="2"/>
      </rPr>
      <t xml:space="preserve">, 40mm thick with 20mm &amp; down size graded hard granite / trap metal and seived, clean river sand including machine mixing, laying in panels not exeeding 2.00 sqm.,(including P/F. glass strips for floor panelling) compacting, plastering in c.m. 1:2 finished monolithic with concrete etc. complete. </t>
    </r>
  </si>
  <si>
    <r>
      <t>For</t>
    </r>
    <r>
      <rPr>
        <b/>
        <sz val="10"/>
        <rFont val="Aptos"/>
        <family val="2"/>
      </rPr>
      <t xml:space="preserve"> Chajja</t>
    </r>
    <r>
      <rPr>
        <sz val="10"/>
        <rFont val="Aptos"/>
        <family val="2"/>
      </rPr>
      <t xml:space="preserve"> with M25:</t>
    </r>
  </si>
  <si>
    <r>
      <t>For</t>
    </r>
    <r>
      <rPr>
        <b/>
        <sz val="10"/>
        <rFont val="Aptos"/>
        <family val="2"/>
      </rPr>
      <t xml:space="preserve"> Chajja:</t>
    </r>
  </si>
  <si>
    <r>
      <t xml:space="preserve">P/F </t>
    </r>
    <r>
      <rPr>
        <b/>
        <sz val="10"/>
        <rFont val="Aptos"/>
        <family val="2"/>
      </rPr>
      <t xml:space="preserve">steel glazed windows &amp; ventilators </t>
    </r>
    <r>
      <rPr>
        <sz val="10"/>
        <rFont val="Aptos"/>
        <family val="2"/>
      </rPr>
      <t>using approved make tubular sections (25X33X3 mm for frame &amp; 25X46X3 mm for shutters)  with 12X12mm guard bars at 100mm c/c. 4mm thick plain glass including providing &amp; fixing fittings &amp; fixtures, painting two coats of enamel paint over a coat of primer including providing a coat of approved make KPF putty work to perfect leveled surface, sand papering &amp; preparing the surface  etc. complete.</t>
    </r>
  </si>
  <si>
    <r>
      <t xml:space="preserve">Providing and fixing </t>
    </r>
    <r>
      <rPr>
        <b/>
        <sz val="10"/>
        <rFont val="Aptos"/>
        <family val="2"/>
      </rPr>
      <t>glazing in aluminium</t>
    </r>
    <r>
      <rPr>
        <sz val="10"/>
        <rFont val="Aptos"/>
        <family val="2"/>
      </rPr>
      <t xml:space="preserve"> door, </t>
    </r>
    <r>
      <rPr>
        <b/>
        <sz val="10"/>
        <rFont val="Aptos"/>
        <family val="2"/>
      </rPr>
      <t xml:space="preserve">window, ventilator </t>
    </r>
    <r>
      <rPr>
        <sz val="10"/>
        <rFont val="Aptos"/>
        <family val="2"/>
      </rPr>
      <t>shutters and partitions etc. with EPDM rubber / neoprene gasket etc. complete as per the architectural drawings and the directions of engineer-in-charge . (Cost of aluminium snap beading shall be paid in basic item):</t>
    </r>
  </si>
  <si>
    <r>
      <t xml:space="preserve">   ---- do --- For </t>
    </r>
    <r>
      <rPr>
        <b/>
        <sz val="10"/>
        <rFont val="Aptos"/>
        <family val="2"/>
      </rPr>
      <t>Gutter</t>
    </r>
  </si>
  <si>
    <r>
      <t xml:space="preserve">   ---- do --- For </t>
    </r>
    <r>
      <rPr>
        <b/>
        <sz val="10"/>
        <rFont val="Aptos"/>
        <family val="2"/>
      </rPr>
      <t>Ridge</t>
    </r>
  </si>
  <si>
    <r>
      <t xml:space="preserve">   ---- do --- For </t>
    </r>
    <r>
      <rPr>
        <b/>
        <sz val="10"/>
        <rFont val="Aptos"/>
        <family val="2"/>
      </rPr>
      <t>Flashing</t>
    </r>
  </si>
  <si>
    <r>
      <t xml:space="preserve">P/L. </t>
    </r>
    <r>
      <rPr>
        <b/>
        <sz val="10"/>
        <rFont val="Aptos"/>
        <family val="2"/>
      </rPr>
      <t>C.C. 1:2:4 flooring</t>
    </r>
    <r>
      <rPr>
        <sz val="10"/>
        <rFont val="Aptos"/>
        <family val="2"/>
      </rPr>
      <t xml:space="preserve">, </t>
    </r>
    <r>
      <rPr>
        <b/>
        <sz val="10"/>
        <rFont val="Aptos"/>
        <family val="2"/>
      </rPr>
      <t>62mm thick</t>
    </r>
    <r>
      <rPr>
        <sz val="10"/>
        <rFont val="Aptos"/>
        <family val="2"/>
      </rPr>
      <t xml:space="preserve"> with 20mm &amp; down size graded hard granite / trap metal and seived, clean river sand including machine mixing, laying in panels not exeeding 2.00 sqm.,(including P/F. glass strips for floor panelling) compacting, plastering in c.m. 1:2 finished monolithic with concrete etc. complete. </t>
    </r>
  </si>
  <si>
    <r>
      <t>P/F</t>
    </r>
    <r>
      <rPr>
        <b/>
        <sz val="10"/>
        <rFont val="Aptos"/>
        <family val="2"/>
      </rPr>
      <t xml:space="preserve"> Inter locking pavars </t>
    </r>
    <r>
      <rPr>
        <sz val="10"/>
        <rFont val="Aptos"/>
        <family val="2"/>
      </rPr>
      <t>using approved make &amp; shade interlocking pavers of 80mm thick, heavy duty, set on levelled, firm surface with river sand as per details including colour marking for parking using coloured blocks.</t>
    </r>
  </si>
  <si>
    <r>
      <t xml:space="preserve">For </t>
    </r>
    <r>
      <rPr>
        <b/>
        <sz val="10"/>
        <rFont val="Aptos"/>
        <family val="2"/>
      </rPr>
      <t xml:space="preserve">Plinth Beam </t>
    </r>
    <r>
      <rPr>
        <sz val="10"/>
        <rFont val="Aptos"/>
        <family val="2"/>
      </rPr>
      <t>with M25:</t>
    </r>
  </si>
  <si>
    <r>
      <t xml:space="preserve">Supplying and stacking at site, </t>
    </r>
    <r>
      <rPr>
        <b/>
        <sz val="10"/>
        <rFont val="Aptos"/>
        <family val="2"/>
      </rPr>
      <t>Moorum</t>
    </r>
  </si>
  <si>
    <r>
      <t>Providing, laying, spreading and compacting graded stone aggregate (size range 53 mm to 0.075 mm ) to</t>
    </r>
    <r>
      <rPr>
        <b/>
        <sz val="10"/>
        <rFont val="Aptos"/>
        <family val="2"/>
      </rPr>
      <t xml:space="preserve"> wet mix macadam </t>
    </r>
    <r>
      <rPr>
        <sz val="10"/>
        <rFont val="Aptos"/>
        <family val="2"/>
      </rPr>
      <t>(WMM) specification including premixing the material with water at OMC in for all leads &amp; lifts, laying in uniform layers with mechanical paverfinisher in sub- base / base course on well prepared surface and compacting with vibratory roller of 8 to 10 tonne capacity to achievethe desired density, complete as per specifications and directions of Engineer-in-Charge</t>
    </r>
  </si>
  <si>
    <r>
      <rPr>
        <b/>
        <sz val="10"/>
        <rFont val="Aptos"/>
        <family val="2"/>
      </rPr>
      <t>Random rubble masonry</t>
    </r>
    <r>
      <rPr>
        <sz val="10"/>
        <rFont val="Aptos"/>
        <family val="2"/>
      </rPr>
      <t xml:space="preserve"> with hard stone in foundation and plinth including levelling up with cement concrete 1:6:12 (1 cement : 6 coarse sand : 12 graded stone aggregate 20 mm nominal size) upto plinth level with Cement mortar 1:6 (1 cement : 6 coarse sand)</t>
    </r>
  </si>
  <si>
    <r>
      <t>Providing and laying</t>
    </r>
    <r>
      <rPr>
        <b/>
        <sz val="10"/>
        <rFont val="Aptos"/>
        <family val="2"/>
      </rPr>
      <t xml:space="preserve"> C.C. pavement </t>
    </r>
    <r>
      <rPr>
        <sz val="10"/>
        <rFont val="Aptos"/>
        <family val="2"/>
      </rPr>
      <t>of mix M-25 with ready mixed concrete from batching plant. The ready mixed concrete shall be laid and finished with screed board vibrator , vacuum dewateringprocess and finally finished by floating, brooming with wire brush etc. complete as per specifications and directions of Engineer-incharge. Note:- Cement content considered in this item is @ 330 kg/cum. Excess/less cement used as per design mix is payable/ recoverable separately). (The panel shuttering work shall be paid for separately).</t>
    </r>
  </si>
  <si>
    <r>
      <t xml:space="preserve">Providing and laying at or near ground level factory made </t>
    </r>
    <r>
      <rPr>
        <b/>
        <sz val="10"/>
        <rFont val="Aptos"/>
        <family val="2"/>
      </rPr>
      <t xml:space="preserve">kerb stone </t>
    </r>
    <r>
      <rPr>
        <sz val="10"/>
        <rFont val="Aptos"/>
        <family val="2"/>
      </rPr>
      <t>of M-25 grade cement concrete in position to the required line, level and curvature, jointed with cement mortar 1:3 (1 cement: 3 coarse sand), including making joints with or without grooves (thickness of joints except at sharp curve shall not to more than 5mm), including making drainage opening wherever required complete etc. including painting two coats of synthetic enamel paint in approved shade over a coat of premier as per direction of Engineer-in-charge (length of finished kerb edging shall be measured for payment). (Precast C.C. kerb stone shall be approved by Engineer-in-charge).</t>
    </r>
  </si>
  <si>
    <r>
      <t xml:space="preserve">Providing and laying ( to level or slopes) and joining reinforced concrete light duty no-pressure pipes </t>
    </r>
    <r>
      <rPr>
        <b/>
        <sz val="10"/>
        <rFont val="Aptos"/>
        <family val="2"/>
      </rPr>
      <t xml:space="preserve">I.S. class NP2 </t>
    </r>
    <r>
      <rPr>
        <sz val="10"/>
        <rFont val="Aptos"/>
        <family val="2"/>
      </rPr>
      <t xml:space="preserve">of the following international diameter with collars and butt ends prepared for collar joints including testing of joints complete. </t>
    </r>
  </si>
  <si>
    <r>
      <rPr>
        <sz val="10"/>
        <rFont val="Aptos"/>
        <family val="2"/>
      </rPr>
      <t>For</t>
    </r>
    <r>
      <rPr>
        <b/>
        <sz val="10"/>
        <rFont val="Aptos"/>
        <family val="2"/>
      </rPr>
      <t xml:space="preserve"> Column Footings </t>
    </r>
    <r>
      <rPr>
        <sz val="10"/>
        <rFont val="Aptos"/>
        <family val="2"/>
      </rPr>
      <t>with M25:</t>
    </r>
  </si>
  <si>
    <r>
      <t xml:space="preserve">Providing and fixing </t>
    </r>
    <r>
      <rPr>
        <b/>
        <sz val="10"/>
        <rFont val="Aptos"/>
        <family val="2"/>
      </rPr>
      <t>M.S.gate</t>
    </r>
    <r>
      <rPr>
        <sz val="10"/>
        <rFont val="Aptos"/>
        <family val="2"/>
      </rPr>
      <t xml:space="preserve"> work using M.S.tubular sections as per approved design, drawing including cutting steel sections and welding the same to required pattern with two coats of enamel painting over a coat of red lead primer, cost of materials, fixtures, labour and HOM of machinery complete as per specifications, S</t>
    </r>
    <r>
      <rPr>
        <b/>
        <sz val="10"/>
        <rFont val="Aptos"/>
        <family val="2"/>
      </rPr>
      <t>wing type gate.</t>
    </r>
  </si>
  <si>
    <r>
      <t>Providing &amp; Fixing</t>
    </r>
    <r>
      <rPr>
        <b/>
        <sz val="10"/>
        <rFont val="Aptos"/>
        <family val="2"/>
      </rPr>
      <t xml:space="preserve"> Pre-cast RCC compound wall</t>
    </r>
    <r>
      <rPr>
        <sz val="10"/>
        <rFont val="Aptos"/>
        <family val="2"/>
      </rPr>
      <t xml:space="preserve"> of 1800mm height (above ground level) with 150 X 150mm RCC poles with 7 nos. of 3mm dia, high tensile carbonised steel wires, M 30 grade concrete,  (2400mm Long; 1800mm above finished foundation top level.) with 60mm wide, 40mm deep grooves on both sides, fixed at 1800mm c/c fixed in masonry using C.C. 1:2:4, 50mm th. RCC planks (300mm wide, 50mm thick made up of 4 wires of 3mm dia high tensile carbonised steel wire, M30 grade concrete) as panels between the RCC poles with tongue &amp; groove joints as per specifications including the cost of reinforcing wires, concrete, etc as required. </t>
    </r>
  </si>
  <si>
    <r>
      <t xml:space="preserve">Providing </t>
    </r>
    <r>
      <rPr>
        <b/>
        <sz val="10"/>
        <rFont val="Aptos"/>
        <family val="2"/>
      </rPr>
      <t xml:space="preserve">T.M.T. steel </t>
    </r>
    <r>
      <rPr>
        <sz val="10"/>
        <rFont val="Aptos"/>
        <family val="2"/>
      </rPr>
      <t>reinforcement (Fe-500D) for R.C.C work including straightening, cutting, bending, hooking, placing in position, lapping and / or welding wherever required, tying with binding wire and anchoring to the adjoining members wherever necessary complete as per design labour, HOM of machinery complete as per specifications.</t>
    </r>
  </si>
  <si>
    <r>
      <t xml:space="preserve">Providing </t>
    </r>
    <r>
      <rPr>
        <b/>
        <sz val="10"/>
        <rFont val="Aptos"/>
        <family val="2"/>
      </rPr>
      <t xml:space="preserve">T.M.T. steel </t>
    </r>
    <r>
      <rPr>
        <sz val="10"/>
        <rFont val="Aptos"/>
        <family val="2"/>
      </rPr>
      <t xml:space="preserve">reinforcement (Fe-500D) for R.C.C work including straightening, cutting, bending, hooking, placing in position, lapping and / or welding wherever required, tying with binding wire and anchoring to the adjoining members wherever necessary complete as per design cost of materials, labour, HOM of machinery complete as per specifications. </t>
    </r>
  </si>
  <si>
    <r>
      <t xml:space="preserve">Providing </t>
    </r>
    <r>
      <rPr>
        <b/>
        <sz val="10"/>
        <rFont val="Arial Narrow"/>
        <family val="2"/>
      </rPr>
      <t xml:space="preserve">T.M.T. steel </t>
    </r>
    <r>
      <rPr>
        <sz val="10"/>
        <rFont val="Arial Narrow"/>
        <family val="2"/>
      </rPr>
      <t xml:space="preserve">reinforcement (Fe-500D) for R.C.C work including straightening, cutting, bending, hooking, placing in position, lapping and / or welding wherever required, tying with binding wire and anchoring to the adjoining members wherever necessary complete as per design cost of materials, labour, HOM of machinery complete as per specifications.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</si>
</sst>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00"/>
  </numFmts>
  <fonts count="31">
    <font>
      <sz val="10"/>
      <name val="Arial"/>
    </font>
    <font>
      <b/>
      <u/>
      <sz val="10"/>
      <name val="Arial Narrow"/>
      <family val="2"/>
    </font>
    <font>
      <b/>
      <sz val="10"/>
      <name val="Arial Narrow"/>
      <family val="2"/>
    </font>
    <font>
      <sz val="10"/>
      <name val="Arial Narrow"/>
      <family val="2"/>
    </font>
    <font>
      <sz val="8"/>
      <name val="Arial"/>
      <family val="2"/>
    </font>
    <font>
      <i/>
      <sz val="10"/>
      <name val="Arial Narrow"/>
      <family val="2"/>
    </font>
    <font>
      <sz val="10"/>
      <name val="Arial"/>
      <family val="2"/>
    </font>
    <font>
      <b/>
      <sz val="10"/>
      <name val="Arial"/>
      <family val="2"/>
    </font>
    <font>
      <sz val="14"/>
      <name val="Arial Narrow"/>
      <family val="2"/>
    </font>
    <font>
      <sz val="12"/>
      <name val="Arial Narrow"/>
      <family val="2"/>
    </font>
    <font>
      <b/>
      <sz val="14"/>
      <name val="Arial Narrow"/>
      <family val="2"/>
    </font>
    <font>
      <b/>
      <u/>
      <sz val="14"/>
      <name val="Arial Narrow"/>
      <family val="2"/>
    </font>
    <font>
      <b/>
      <i/>
      <sz val="14"/>
      <name val="Arial Narrow"/>
      <family val="2"/>
    </font>
    <font>
      <b/>
      <sz val="12"/>
      <name val="Arial Narrow"/>
      <family val="2"/>
    </font>
    <font>
      <b/>
      <i/>
      <u/>
      <sz val="14"/>
      <name val="Arial Narrow"/>
      <family val="2"/>
    </font>
    <font>
      <sz val="8"/>
      <name val="Arial Narrow"/>
      <family val="2"/>
    </font>
    <font>
      <sz val="10"/>
      <color rgb="FFFF0000"/>
      <name val="Arial Narrow"/>
      <family val="2"/>
    </font>
    <font>
      <sz val="9"/>
      <name val="Arial Narrow"/>
      <family val="2"/>
    </font>
    <font>
      <b/>
      <u/>
      <sz val="16"/>
      <name val="Arial Narrow"/>
      <family val="2"/>
    </font>
    <font>
      <sz val="10"/>
      <color theme="1"/>
      <name val="Arial Narrow"/>
      <family val="2"/>
    </font>
    <font>
      <b/>
      <sz val="10"/>
      <color theme="1"/>
      <name val="Arial Narrow"/>
      <family val="2"/>
    </font>
    <font>
      <sz val="10"/>
      <color rgb="FF00B050"/>
      <name val="Arial Narrow"/>
      <family val="2"/>
    </font>
    <font>
      <sz val="10"/>
      <color rgb="FF000000"/>
      <name val="Arial Narrow"/>
      <family val="2"/>
    </font>
    <font>
      <b/>
      <sz val="10"/>
      <color rgb="FF000000"/>
      <name val="Arial Narrow"/>
      <family val="2"/>
    </font>
    <font>
      <b/>
      <sz val="11"/>
      <color rgb="FFFF0000"/>
      <name val="Arial Narrow"/>
      <family val="2"/>
    </font>
    <font>
      <b/>
      <sz val="11"/>
      <name val="Arial Narrow"/>
      <family val="2"/>
    </font>
    <font>
      <b/>
      <sz val="10"/>
      <name val="Aptos"/>
      <family val="2"/>
    </font>
    <font>
      <b/>
      <u/>
      <sz val="10"/>
      <name val="Aptos"/>
      <family val="2"/>
    </font>
    <font>
      <sz val="10"/>
      <name val="Aptos"/>
      <family val="2"/>
    </font>
    <font>
      <u/>
      <sz val="10"/>
      <name val="Aptos"/>
      <family val="2"/>
    </font>
    <font>
      <i/>
      <sz val="10"/>
      <name val="Aptos"/>
      <family val="2"/>
    </font>
  </fonts>
  <fills count="4">
    <fill>
      <patternFill patternType="none"/>
    </fill>
    <fill>
      <patternFill patternType="gray125"/>
    </fill>
    <fill>
      <patternFill patternType="solid">
        <fgColor rgb="FF00B050"/>
        <bgColor indexed="64"/>
      </patternFill>
    </fill>
    <fill>
      <patternFill patternType="solid">
        <fgColor theme="5"/>
        <bgColor indexed="64"/>
      </patternFill>
    </fill>
  </fills>
  <borders count="1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diagonal/>
    </border>
  </borders>
  <cellStyleXfs count="8">
    <xf numFmtId="0" fontId="0" fillId="0" borderId="0"/>
    <xf numFmtId="0" fontId="6" fillId="0" borderId="0"/>
    <xf numFmtId="0" fontId="6" fillId="0" borderId="0"/>
    <xf numFmtId="0" fontId="3" fillId="0" borderId="0"/>
    <xf numFmtId="0" fontId="6" fillId="0" borderId="0"/>
    <xf numFmtId="0" fontId="6" fillId="0" borderId="0"/>
    <xf numFmtId="9" fontId="6" fillId="0" borderId="0" applyFont="0" applyFill="0" applyBorder="0" applyAlignment="0" applyProtection="0"/>
    <xf numFmtId="0" fontId="6" fillId="0" borderId="0"/>
  </cellStyleXfs>
  <cellXfs count="325">
    <xf numFmtId="0" fontId="0" fillId="0" borderId="0" xfId="0"/>
    <xf numFmtId="0" fontId="3" fillId="0" borderId="0" xfId="0" applyFont="1" applyAlignment="1">
      <alignment horizontal="center"/>
    </xf>
    <xf numFmtId="2" fontId="3" fillId="0" borderId="0" xfId="0" applyNumberFormat="1" applyFont="1" applyAlignment="1">
      <alignment horizontal="right"/>
    </xf>
    <xf numFmtId="0" fontId="2" fillId="0" borderId="0" xfId="0" applyFont="1" applyAlignment="1">
      <alignment vertical="top"/>
    </xf>
    <xf numFmtId="2" fontId="3" fillId="0" borderId="0" xfId="0" applyNumberFormat="1" applyFont="1"/>
    <xf numFmtId="2" fontId="3" fillId="0" borderId="0" xfId="0" applyNumberFormat="1" applyFont="1" applyAlignment="1">
      <alignment horizontal="center"/>
    </xf>
    <xf numFmtId="0" fontId="3" fillId="0" borderId="0" xfId="0" applyFont="1" applyAlignment="1">
      <alignment horizontal="justify" vertical="top"/>
    </xf>
    <xf numFmtId="0" fontId="3" fillId="0" borderId="0" xfId="0" quotePrefix="1" applyFont="1" applyAlignment="1">
      <alignment horizontal="left"/>
    </xf>
    <xf numFmtId="0" fontId="3" fillId="0" borderId="0" xfId="0" applyFont="1" applyAlignment="1">
      <alignment horizontal="left"/>
    </xf>
    <xf numFmtId="0" fontId="3" fillId="0" borderId="0" xfId="0" applyFont="1"/>
    <xf numFmtId="0" fontId="3" fillId="0" borderId="0" xfId="0" quotePrefix="1" applyFont="1" applyAlignment="1">
      <alignment horizontal="justify" vertical="top"/>
    </xf>
    <xf numFmtId="0" fontId="3" fillId="0" borderId="0" xfId="0" applyFont="1" applyAlignment="1">
      <alignment vertical="top"/>
    </xf>
    <xf numFmtId="0" fontId="3" fillId="0" borderId="0" xfId="0" applyFont="1" applyAlignment="1">
      <alignment horizontal="justify" vertical="top" wrapText="1"/>
    </xf>
    <xf numFmtId="0" fontId="3" fillId="0" borderId="0" xfId="0" applyFont="1" applyAlignment="1">
      <alignment horizontal="left" vertical="top"/>
    </xf>
    <xf numFmtId="0" fontId="3" fillId="0" borderId="0" xfId="0" applyFont="1" applyAlignment="1">
      <alignment horizontal="center" vertical="top"/>
    </xf>
    <xf numFmtId="0" fontId="1" fillId="0" borderId="0" xfId="0" applyFont="1"/>
    <xf numFmtId="0" fontId="2" fillId="0" borderId="0" xfId="0" applyFont="1" applyAlignment="1">
      <alignment horizontal="center" vertical="top"/>
    </xf>
    <xf numFmtId="0" fontId="3" fillId="0" borderId="0" xfId="0" applyFont="1" applyAlignment="1">
      <alignment horizontal="right" vertical="top"/>
    </xf>
    <xf numFmtId="164" fontId="3" fillId="0" borderId="0" xfId="0" applyNumberFormat="1" applyFont="1" applyAlignment="1">
      <alignment horizontal="left" vertical="top"/>
    </xf>
    <xf numFmtId="0" fontId="3" fillId="0" borderId="0" xfId="1" applyFont="1" applyAlignment="1">
      <alignment horizontal="justify" vertical="top"/>
    </xf>
    <xf numFmtId="0" fontId="1" fillId="0" borderId="0" xfId="0" applyFont="1" applyAlignment="1">
      <alignment horizontal="left"/>
    </xf>
    <xf numFmtId="0" fontId="5" fillId="0" borderId="0" xfId="0" applyFont="1" applyAlignment="1">
      <alignment horizontal="right" vertical="top"/>
    </xf>
    <xf numFmtId="0" fontId="8" fillId="0" borderId="0" xfId="0" applyFont="1"/>
    <xf numFmtId="0" fontId="9" fillId="0" borderId="0" xfId="0" applyFont="1"/>
    <xf numFmtId="0" fontId="2" fillId="0" borderId="0" xfId="0" applyFont="1" applyAlignment="1">
      <alignment horizontal="center"/>
    </xf>
    <xf numFmtId="0" fontId="8" fillId="0" borderId="0" xfId="0" applyFont="1" applyAlignment="1">
      <alignment horizontal="left"/>
    </xf>
    <xf numFmtId="0" fontId="11" fillId="0" borderId="0" xfId="0" applyFont="1" applyAlignment="1">
      <alignment vertical="top"/>
    </xf>
    <xf numFmtId="2" fontId="2" fillId="0" borderId="3" xfId="0" applyNumberFormat="1" applyFont="1" applyBorder="1"/>
    <xf numFmtId="0" fontId="2" fillId="0" borderId="3" xfId="0" applyFont="1" applyBorder="1" applyAlignment="1">
      <alignment horizontal="center"/>
    </xf>
    <xf numFmtId="164" fontId="3" fillId="0" borderId="0" xfId="0" applyNumberFormat="1" applyFont="1" applyAlignment="1">
      <alignment horizontal="left"/>
    </xf>
    <xf numFmtId="0" fontId="3" fillId="0" borderId="0" xfId="1" applyFont="1" applyAlignment="1">
      <alignment horizontal="right" vertical="top"/>
    </xf>
    <xf numFmtId="0" fontId="6" fillId="0" borderId="0" xfId="0" applyFont="1"/>
    <xf numFmtId="0" fontId="3" fillId="0" borderId="0" xfId="0" applyFont="1" applyAlignment="1">
      <alignment horizontal="justify"/>
    </xf>
    <xf numFmtId="2" fontId="2" fillId="0" borderId="0" xfId="0" applyNumberFormat="1" applyFont="1"/>
    <xf numFmtId="0" fontId="2" fillId="0" borderId="2" xfId="0" applyFont="1" applyBorder="1" applyAlignment="1">
      <alignment horizontal="center"/>
    </xf>
    <xf numFmtId="2" fontId="2" fillId="0" borderId="2" xfId="1" applyNumberFormat="1" applyFont="1" applyBorder="1" applyAlignment="1">
      <alignment horizontal="center"/>
    </xf>
    <xf numFmtId="0" fontId="2" fillId="0" borderId="2" xfId="1" applyFont="1" applyBorder="1" applyAlignment="1">
      <alignment horizontal="center"/>
    </xf>
    <xf numFmtId="2" fontId="3" fillId="0" borderId="0" xfId="1" applyNumberFormat="1" applyFont="1" applyAlignment="1">
      <alignment horizontal="center"/>
    </xf>
    <xf numFmtId="0" fontId="3" fillId="0" borderId="0" xfId="1" applyFont="1" applyAlignment="1">
      <alignment horizontal="center"/>
    </xf>
    <xf numFmtId="0" fontId="3" fillId="0" borderId="1" xfId="0" applyFont="1" applyBorder="1" applyAlignment="1">
      <alignment horizontal="center"/>
    </xf>
    <xf numFmtId="2" fontId="3" fillId="0" borderId="0" xfId="0" applyNumberFormat="1" applyFont="1" applyAlignment="1">
      <alignment horizontal="left" vertical="top"/>
    </xf>
    <xf numFmtId="164" fontId="3" fillId="0" borderId="0" xfId="0" quotePrefix="1" applyNumberFormat="1" applyFont="1" applyAlignment="1">
      <alignment horizontal="left" vertical="top"/>
    </xf>
    <xf numFmtId="2" fontId="3" fillId="0" borderId="0" xfId="0" applyNumberFormat="1" applyFont="1" applyAlignment="1">
      <alignment horizontal="center" vertical="top"/>
    </xf>
    <xf numFmtId="164" fontId="3" fillId="0" borderId="0" xfId="0" applyNumberFormat="1" applyFont="1" applyAlignment="1">
      <alignment horizontal="justify" vertical="top"/>
    </xf>
    <xf numFmtId="0" fontId="2" fillId="0" borderId="0" xfId="0" applyFont="1" applyAlignment="1">
      <alignment horizontal="left"/>
    </xf>
    <xf numFmtId="0" fontId="2" fillId="0" borderId="0" xfId="0" applyFont="1" applyAlignment="1">
      <alignment horizontal="justify" vertical="top"/>
    </xf>
    <xf numFmtId="0" fontId="3" fillId="0" borderId="0" xfId="0" applyFont="1" applyAlignment="1">
      <alignment horizontal="right"/>
    </xf>
    <xf numFmtId="2" fontId="2" fillId="0" borderId="0" xfId="0" applyNumberFormat="1" applyFont="1" applyAlignment="1">
      <alignment horizontal="center"/>
    </xf>
    <xf numFmtId="164" fontId="3" fillId="0" borderId="0" xfId="0" applyNumberFormat="1" applyFont="1" applyAlignment="1">
      <alignment horizontal="center"/>
    </xf>
    <xf numFmtId="0" fontId="3" fillId="0" borderId="0" xfId="3" applyAlignment="1">
      <alignment horizontal="justify" vertical="top"/>
    </xf>
    <xf numFmtId="0" fontId="3" fillId="0" borderId="2" xfId="0" applyFont="1" applyBorder="1" applyAlignment="1">
      <alignment horizontal="center"/>
    </xf>
    <xf numFmtId="0" fontId="2" fillId="0" borderId="0" xfId="0" applyFont="1" applyAlignment="1">
      <alignment horizontal="left" vertical="top"/>
    </xf>
    <xf numFmtId="0" fontId="2" fillId="0" borderId="0" xfId="0" applyFont="1"/>
    <xf numFmtId="2" fontId="3" fillId="0" borderId="2" xfId="0" applyNumberFormat="1" applyFont="1" applyBorder="1" applyAlignment="1">
      <alignment horizontal="right"/>
    </xf>
    <xf numFmtId="0" fontId="6" fillId="0" borderId="0" xfId="0" applyFont="1" applyAlignment="1">
      <alignment horizontal="left"/>
    </xf>
    <xf numFmtId="0" fontId="3" fillId="0" borderId="0" xfId="0" applyFont="1" applyAlignment="1">
      <alignment horizontal="justify" vertical="center"/>
    </xf>
    <xf numFmtId="0" fontId="3" fillId="0" borderId="3" xfId="0" applyFont="1" applyBorder="1" applyAlignment="1">
      <alignment horizontal="center"/>
    </xf>
    <xf numFmtId="0" fontId="6" fillId="0" borderId="0" xfId="0" applyFont="1" applyAlignment="1">
      <alignment horizontal="center"/>
    </xf>
    <xf numFmtId="2" fontId="3" fillId="0" borderId="3" xfId="0" applyNumberFormat="1" applyFont="1" applyBorder="1" applyAlignment="1">
      <alignment horizontal="center"/>
    </xf>
    <xf numFmtId="2" fontId="3" fillId="0" borderId="0" xfId="1" applyNumberFormat="1" applyFont="1" applyAlignment="1">
      <alignment horizontal="justify"/>
    </xf>
    <xf numFmtId="0" fontId="3" fillId="0" borderId="8" xfId="0" applyFont="1" applyBorder="1" applyAlignment="1">
      <alignment vertical="top"/>
    </xf>
    <xf numFmtId="1" fontId="3" fillId="0" borderId="0" xfId="0" applyNumberFormat="1" applyFont="1" applyAlignment="1">
      <alignment horizontal="center"/>
    </xf>
    <xf numFmtId="1" fontId="3" fillId="0" borderId="0" xfId="0" applyNumberFormat="1" applyFont="1"/>
    <xf numFmtId="2" fontId="3" fillId="0" borderId="3" xfId="0" applyNumberFormat="1" applyFont="1" applyBorder="1" applyAlignment="1">
      <alignment horizontal="left"/>
    </xf>
    <xf numFmtId="2" fontId="2" fillId="0" borderId="3" xfId="0" applyNumberFormat="1" applyFont="1" applyBorder="1" applyAlignment="1">
      <alignment horizontal="right"/>
    </xf>
    <xf numFmtId="164" fontId="2" fillId="0" borderId="3" xfId="0" applyNumberFormat="1" applyFont="1" applyBorder="1" applyAlignment="1">
      <alignment horizontal="center"/>
    </xf>
    <xf numFmtId="0" fontId="6" fillId="0" borderId="0" xfId="0" applyFont="1" applyAlignment="1">
      <alignment horizontal="left" vertical="top"/>
    </xf>
    <xf numFmtId="0" fontId="7" fillId="0" borderId="0" xfId="0" applyFont="1"/>
    <xf numFmtId="165" fontId="3" fillId="0" borderId="0" xfId="0" applyNumberFormat="1" applyFont="1" applyAlignment="1">
      <alignment horizontal="center"/>
    </xf>
    <xf numFmtId="0" fontId="3" fillId="0" borderId="3" xfId="0" applyFont="1" applyBorder="1"/>
    <xf numFmtId="0" fontId="2" fillId="0" borderId="2" xfId="0" applyFont="1" applyBorder="1"/>
    <xf numFmtId="165" fontId="3" fillId="0" borderId="0" xfId="0" applyNumberFormat="1" applyFont="1" applyAlignment="1">
      <alignment horizontal="right"/>
    </xf>
    <xf numFmtId="2" fontId="2" fillId="0" borderId="0" xfId="0" applyNumberFormat="1" applyFont="1" applyAlignment="1">
      <alignment horizontal="right"/>
    </xf>
    <xf numFmtId="164" fontId="2" fillId="0" borderId="0" xfId="0" applyNumberFormat="1" applyFont="1" applyAlignment="1">
      <alignment horizontal="center"/>
    </xf>
    <xf numFmtId="0" fontId="6" fillId="0" borderId="0" xfId="0" applyFont="1" applyAlignment="1">
      <alignment horizontal="right"/>
    </xf>
    <xf numFmtId="0" fontId="3" fillId="0" borderId="3" xfId="0" applyFont="1" applyBorder="1" applyAlignment="1">
      <alignment horizontal="right"/>
    </xf>
    <xf numFmtId="0" fontId="15" fillId="0" borderId="0" xfId="0" applyFont="1"/>
    <xf numFmtId="0" fontId="2" fillId="0" borderId="1" xfId="0" applyFont="1" applyBorder="1" applyAlignment="1">
      <alignment horizontal="left"/>
    </xf>
    <xf numFmtId="0" fontId="2" fillId="0" borderId="1" xfId="0" applyFont="1" applyBorder="1" applyAlignment="1">
      <alignment horizontal="center"/>
    </xf>
    <xf numFmtId="0" fontId="6" fillId="0" borderId="0" xfId="0" applyFont="1" applyAlignment="1">
      <alignment vertical="top"/>
    </xf>
    <xf numFmtId="2" fontId="6" fillId="0" borderId="0" xfId="0" applyNumberFormat="1" applyFont="1"/>
    <xf numFmtId="1" fontId="3" fillId="0" borderId="0" xfId="0" applyNumberFormat="1" applyFont="1" applyAlignment="1">
      <alignment horizontal="right"/>
    </xf>
    <xf numFmtId="164" fontId="3" fillId="0" borderId="0" xfId="0" applyNumberFormat="1" applyFont="1" applyAlignment="1">
      <alignment vertical="top"/>
    </xf>
    <xf numFmtId="2" fontId="6" fillId="0" borderId="0" xfId="0" applyNumberFormat="1" applyFont="1" applyAlignment="1">
      <alignment horizontal="center"/>
    </xf>
    <xf numFmtId="9" fontId="3" fillId="0" borderId="0" xfId="0" applyNumberFormat="1" applyFont="1" applyAlignment="1">
      <alignment horizontal="center"/>
    </xf>
    <xf numFmtId="0" fontId="3" fillId="0" borderId="0" xfId="0" applyFont="1" applyAlignment="1">
      <alignment horizontal="right" wrapText="1"/>
    </xf>
    <xf numFmtId="0" fontId="3" fillId="0" borderId="2" xfId="0" applyFont="1" applyBorder="1" applyAlignment="1">
      <alignment horizontal="left" vertical="top"/>
    </xf>
    <xf numFmtId="0" fontId="2" fillId="0" borderId="2" xfId="0" applyFont="1" applyBorder="1" applyAlignment="1">
      <alignment horizontal="right" vertical="top"/>
    </xf>
    <xf numFmtId="0" fontId="3" fillId="0" borderId="2" xfId="0" applyFont="1" applyBorder="1" applyAlignment="1">
      <alignment vertical="top"/>
    </xf>
    <xf numFmtId="0" fontId="3" fillId="0" borderId="2" xfId="0" applyFont="1" applyBorder="1" applyAlignment="1">
      <alignment horizontal="center" vertical="top"/>
    </xf>
    <xf numFmtId="0" fontId="2" fillId="0" borderId="0" xfId="0" applyFont="1" applyAlignment="1">
      <alignment horizontal="right" vertical="top"/>
    </xf>
    <xf numFmtId="0" fontId="3" fillId="0" borderId="4" xfId="0" applyFont="1" applyBorder="1" applyAlignment="1">
      <alignment horizontal="center" vertical="top"/>
    </xf>
    <xf numFmtId="0" fontId="3" fillId="0" borderId="1" xfId="0" applyFont="1" applyBorder="1" applyAlignment="1">
      <alignment horizontal="left" vertical="top"/>
    </xf>
    <xf numFmtId="0" fontId="2" fillId="0" borderId="1" xfId="0" applyFont="1" applyBorder="1" applyAlignment="1">
      <alignment horizontal="right" vertical="top"/>
    </xf>
    <xf numFmtId="0" fontId="3" fillId="0" borderId="1" xfId="0" applyFont="1" applyBorder="1" applyAlignment="1">
      <alignment vertical="top"/>
    </xf>
    <xf numFmtId="0" fontId="3" fillId="0" borderId="1" xfId="0" applyFont="1" applyBorder="1" applyAlignment="1">
      <alignment horizontal="center" vertical="top"/>
    </xf>
    <xf numFmtId="0" fontId="3" fillId="0" borderId="8" xfId="0" applyFont="1" applyBorder="1" applyAlignment="1">
      <alignment horizontal="left" vertical="top"/>
    </xf>
    <xf numFmtId="0" fontId="3" fillId="0" borderId="8" xfId="0" applyFont="1" applyBorder="1" applyAlignment="1">
      <alignment horizontal="right" vertical="top"/>
    </xf>
    <xf numFmtId="0" fontId="3" fillId="0" borderId="8" xfId="0" applyFont="1" applyBorder="1" applyAlignment="1">
      <alignment horizontal="center" vertical="top"/>
    </xf>
    <xf numFmtId="0" fontId="3" fillId="0" borderId="2" xfId="0" applyFont="1" applyBorder="1" applyAlignment="1">
      <alignment horizontal="right"/>
    </xf>
    <xf numFmtId="0" fontId="2" fillId="0" borderId="2" xfId="0" applyFont="1" applyBorder="1" applyAlignment="1">
      <alignment horizontal="right"/>
    </xf>
    <xf numFmtId="164" fontId="6" fillId="0" borderId="0" xfId="0" applyNumberFormat="1" applyFont="1" applyAlignment="1">
      <alignment vertical="top"/>
    </xf>
    <xf numFmtId="0" fontId="6" fillId="0" borderId="0" xfId="0" applyFont="1" applyAlignment="1">
      <alignment horizontal="right" vertical="top"/>
    </xf>
    <xf numFmtId="0" fontId="3" fillId="0" borderId="0" xfId="1" applyFont="1" applyAlignment="1">
      <alignment horizontal="justify"/>
    </xf>
    <xf numFmtId="0" fontId="3" fillId="0" borderId="0" xfId="1" applyFont="1" applyAlignment="1">
      <alignment horizontal="left"/>
    </xf>
    <xf numFmtId="1" fontId="6" fillId="0" borderId="0" xfId="0" applyNumberFormat="1" applyFont="1"/>
    <xf numFmtId="2" fontId="2" fillId="0" borderId="3" xfId="0" applyNumberFormat="1" applyFont="1" applyBorder="1" applyAlignment="1">
      <alignment horizontal="center" vertical="center"/>
    </xf>
    <xf numFmtId="2" fontId="3" fillId="0" borderId="2" xfId="0" applyNumberFormat="1" applyFont="1" applyBorder="1" applyAlignment="1">
      <alignment horizontal="center"/>
    </xf>
    <xf numFmtId="2" fontId="3" fillId="0" borderId="0" xfId="0" applyNumberFormat="1" applyFont="1" applyAlignment="1">
      <alignment horizontal="left"/>
    </xf>
    <xf numFmtId="2" fontId="3" fillId="0" borderId="3" xfId="0" applyNumberFormat="1" applyFont="1" applyBorder="1" applyAlignment="1">
      <alignment horizontal="right"/>
    </xf>
    <xf numFmtId="164" fontId="3" fillId="0" borderId="2" xfId="0" applyNumberFormat="1" applyFont="1" applyBorder="1" applyAlignment="1">
      <alignment horizontal="center"/>
    </xf>
    <xf numFmtId="164" fontId="3" fillId="0" borderId="0" xfId="0" applyNumberFormat="1" applyFont="1" applyAlignment="1">
      <alignment horizontal="right"/>
    </xf>
    <xf numFmtId="1" fontId="6" fillId="0" borderId="0" xfId="0" applyNumberFormat="1" applyFont="1" applyAlignment="1">
      <alignment horizontal="center"/>
    </xf>
    <xf numFmtId="2" fontId="3" fillId="0" borderId="0" xfId="0" applyNumberFormat="1" applyFont="1" applyAlignment="1">
      <alignment horizontal="right" vertical="top"/>
    </xf>
    <xf numFmtId="0" fontId="6" fillId="0" borderId="0" xfId="0" quotePrefix="1" applyFont="1"/>
    <xf numFmtId="0" fontId="3" fillId="0" borderId="0" xfId="4" applyFont="1" applyAlignment="1">
      <alignment horizontal="justify" vertical="top" wrapText="1"/>
    </xf>
    <xf numFmtId="0" fontId="17" fillId="0" borderId="0" xfId="0" applyFont="1" applyAlignment="1">
      <alignment vertical="top"/>
    </xf>
    <xf numFmtId="0" fontId="18" fillId="0" borderId="0" xfId="0" applyFont="1" applyAlignment="1">
      <alignment vertical="top"/>
    </xf>
    <xf numFmtId="0" fontId="17" fillId="0" borderId="0" xfId="0" applyFont="1" applyAlignment="1">
      <alignment horizontal="center"/>
    </xf>
    <xf numFmtId="0" fontId="17" fillId="0" borderId="0" xfId="0" applyFont="1"/>
    <xf numFmtId="1" fontId="17" fillId="0" borderId="0" xfId="0" applyNumberFormat="1" applyFont="1" applyAlignment="1">
      <alignment horizontal="center" vertical="top"/>
    </xf>
    <xf numFmtId="2" fontId="17" fillId="0" borderId="0" xfId="0" applyNumberFormat="1" applyFont="1" applyAlignment="1">
      <alignment horizontal="center" vertical="top"/>
    </xf>
    <xf numFmtId="2" fontId="3" fillId="0" borderId="2" xfId="0" applyNumberFormat="1" applyFont="1" applyBorder="1"/>
    <xf numFmtId="2" fontId="2" fillId="0" borderId="3" xfId="2" applyNumberFormat="1" applyFont="1" applyBorder="1"/>
    <xf numFmtId="0" fontId="19" fillId="0" borderId="0" xfId="0" applyFont="1"/>
    <xf numFmtId="0" fontId="19" fillId="0" borderId="0" xfId="0" applyFont="1" applyAlignment="1">
      <alignment horizontal="right"/>
    </xf>
    <xf numFmtId="0" fontId="2" fillId="0" borderId="2" xfId="0" applyFont="1" applyBorder="1" applyAlignment="1">
      <alignment horizontal="left"/>
    </xf>
    <xf numFmtId="0" fontId="2" fillId="0" borderId="9" xfId="0" applyFont="1" applyBorder="1" applyAlignment="1">
      <alignment horizontal="center"/>
    </xf>
    <xf numFmtId="0" fontId="2" fillId="0" borderId="10" xfId="0" applyFont="1" applyBorder="1" applyAlignment="1">
      <alignment horizontal="left"/>
    </xf>
    <xf numFmtId="0" fontId="19" fillId="0" borderId="1" xfId="0" applyFont="1" applyBorder="1"/>
    <xf numFmtId="0" fontId="19" fillId="0" borderId="7" xfId="0" applyFont="1" applyBorder="1"/>
    <xf numFmtId="0" fontId="2" fillId="0" borderId="3" xfId="0" applyFont="1" applyBorder="1" applyAlignment="1">
      <alignment horizontal="left"/>
    </xf>
    <xf numFmtId="0" fontId="2" fillId="0" borderId="11" xfId="0" applyFont="1" applyBorder="1" applyAlignment="1">
      <alignment horizontal="center"/>
    </xf>
    <xf numFmtId="0" fontId="2" fillId="0" borderId="5" xfId="0" applyFont="1" applyBorder="1" applyAlignment="1">
      <alignment horizontal="center"/>
    </xf>
    <xf numFmtId="0" fontId="2" fillId="0" borderId="11" xfId="0" applyFont="1" applyBorder="1" applyAlignment="1">
      <alignment horizontal="right"/>
    </xf>
    <xf numFmtId="2" fontId="19" fillId="0" borderId="0" xfId="0" applyNumberFormat="1" applyFont="1"/>
    <xf numFmtId="0" fontId="19" fillId="0" borderId="0" xfId="0" applyFont="1" applyAlignment="1">
      <alignment horizontal="center"/>
    </xf>
    <xf numFmtId="2" fontId="19" fillId="0" borderId="0" xfId="0" applyNumberFormat="1" applyFont="1" applyAlignment="1">
      <alignment horizontal="center"/>
    </xf>
    <xf numFmtId="2" fontId="19" fillId="0" borderId="0" xfId="0" applyNumberFormat="1" applyFont="1" applyAlignment="1">
      <alignment horizontal="right"/>
    </xf>
    <xf numFmtId="164" fontId="16" fillId="0" borderId="0" xfId="0" applyNumberFormat="1" applyFont="1" applyAlignment="1">
      <alignment horizontal="left" vertical="top"/>
    </xf>
    <xf numFmtId="0" fontId="16" fillId="0" borderId="0" xfId="0" applyFont="1"/>
    <xf numFmtId="0" fontId="16" fillId="0" borderId="0" xfId="0" applyFont="1" applyAlignment="1">
      <alignment horizontal="center"/>
    </xf>
    <xf numFmtId="2" fontId="16" fillId="0" borderId="0" xfId="0" applyNumberFormat="1" applyFont="1" applyAlignment="1">
      <alignment horizontal="center"/>
    </xf>
    <xf numFmtId="2" fontId="16" fillId="0" borderId="0" xfId="0" applyNumberFormat="1" applyFont="1" applyAlignment="1">
      <alignment horizontal="right"/>
    </xf>
    <xf numFmtId="0" fontId="2" fillId="0" borderId="0" xfId="0" applyFont="1" applyAlignment="1">
      <alignment horizontal="right"/>
    </xf>
    <xf numFmtId="0" fontId="20" fillId="0" borderId="2" xfId="0" applyFont="1" applyBorder="1"/>
    <xf numFmtId="2" fontId="19" fillId="0" borderId="2" xfId="0" applyNumberFormat="1" applyFont="1" applyBorder="1"/>
    <xf numFmtId="0" fontId="19" fillId="0" borderId="2" xfId="0" applyFont="1" applyBorder="1"/>
    <xf numFmtId="2" fontId="3" fillId="0" borderId="3" xfId="0" applyNumberFormat="1" applyFont="1" applyBorder="1"/>
    <xf numFmtId="0" fontId="2" fillId="0" borderId="3" xfId="0" applyFont="1" applyBorder="1"/>
    <xf numFmtId="0" fontId="21" fillId="0" borderId="0" xfId="0" applyFont="1"/>
    <xf numFmtId="0" fontId="20" fillId="0" borderId="0" xfId="0" applyFont="1"/>
    <xf numFmtId="0" fontId="20" fillId="0" borderId="0" xfId="0" applyFont="1" applyAlignment="1">
      <alignment horizontal="center"/>
    </xf>
    <xf numFmtId="2" fontId="5" fillId="0" borderId="0" xfId="0" applyNumberFormat="1" applyFont="1" applyAlignment="1">
      <alignment horizontal="center"/>
    </xf>
    <xf numFmtId="0" fontId="21" fillId="0" borderId="0" xfId="0" applyFont="1" applyAlignment="1">
      <alignment horizontal="center"/>
    </xf>
    <xf numFmtId="0" fontId="2" fillId="0" borderId="12" xfId="0" applyFont="1" applyBorder="1" applyAlignment="1">
      <alignment horizontal="center" vertical="top" wrapText="1"/>
    </xf>
    <xf numFmtId="0" fontId="22" fillId="0" borderId="13" xfId="0" applyFont="1" applyBorder="1" applyAlignment="1">
      <alignment horizontal="left" wrapText="1"/>
    </xf>
    <xf numFmtId="0" fontId="3" fillId="0" borderId="13" xfId="0" applyFont="1" applyBorder="1" applyAlignment="1">
      <alignment horizontal="left" vertical="top" wrapText="1"/>
    </xf>
    <xf numFmtId="0" fontId="22" fillId="0" borderId="14" xfId="0" applyFont="1" applyBorder="1" applyAlignment="1">
      <alignment horizontal="left" wrapText="1"/>
    </xf>
    <xf numFmtId="0" fontId="3" fillId="0" borderId="14" xfId="0" applyFont="1" applyBorder="1" applyAlignment="1">
      <alignment horizontal="left" vertical="top" wrapText="1"/>
    </xf>
    <xf numFmtId="2" fontId="22" fillId="0" borderId="14" xfId="0" applyNumberFormat="1" applyFont="1" applyBorder="1" applyAlignment="1">
      <alignment horizontal="left" vertical="top" shrinkToFit="1"/>
    </xf>
    <xf numFmtId="0" fontId="3" fillId="0" borderId="14" xfId="0" applyFont="1" applyBorder="1" applyAlignment="1">
      <alignment horizontal="center" vertical="top" wrapText="1"/>
    </xf>
    <xf numFmtId="165" fontId="22" fillId="0" borderId="14" xfId="0" applyNumberFormat="1" applyFont="1" applyBorder="1" applyAlignment="1">
      <alignment horizontal="right" vertical="top" shrinkToFit="1"/>
    </xf>
    <xf numFmtId="2" fontId="22" fillId="0" borderId="14" xfId="0" applyNumberFormat="1" applyFont="1" applyBorder="1" applyAlignment="1">
      <alignment horizontal="right" vertical="top" shrinkToFit="1"/>
    </xf>
    <xf numFmtId="166" fontId="22" fillId="0" borderId="14" xfId="0" applyNumberFormat="1" applyFont="1" applyBorder="1" applyAlignment="1">
      <alignment horizontal="left" vertical="top" shrinkToFit="1"/>
    </xf>
    <xf numFmtId="1" fontId="22" fillId="0" borderId="14" xfId="0" applyNumberFormat="1" applyFont="1" applyBorder="1" applyAlignment="1">
      <alignment horizontal="left" vertical="top" shrinkToFit="1"/>
    </xf>
    <xf numFmtId="0" fontId="22" fillId="0" borderId="15" xfId="0" applyFont="1" applyBorder="1" applyAlignment="1">
      <alignment horizontal="left" wrapText="1"/>
    </xf>
    <xf numFmtId="0" fontId="3" fillId="0" borderId="15" xfId="0" applyFont="1" applyBorder="1" applyAlignment="1">
      <alignment horizontal="left" vertical="top" wrapText="1"/>
    </xf>
    <xf numFmtId="2" fontId="22" fillId="0" borderId="16" xfId="0" applyNumberFormat="1" applyFont="1" applyBorder="1" applyAlignment="1">
      <alignment horizontal="right" vertical="top" shrinkToFit="1"/>
    </xf>
    <xf numFmtId="2" fontId="23" fillId="0" borderId="15" xfId="0" applyNumberFormat="1" applyFont="1" applyBorder="1" applyAlignment="1">
      <alignment horizontal="right" vertical="top" shrinkToFit="1"/>
    </xf>
    <xf numFmtId="0" fontId="17" fillId="0" borderId="0" xfId="0" applyFont="1" applyAlignment="1">
      <alignment horizontal="justify"/>
    </xf>
    <xf numFmtId="0" fontId="3" fillId="2" borderId="0" xfId="0" applyFont="1" applyFill="1" applyAlignment="1">
      <alignment horizontal="center" vertical="top"/>
    </xf>
    <xf numFmtId="0" fontId="3" fillId="2" borderId="0" xfId="0" applyFont="1" applyFill="1" applyAlignment="1">
      <alignment vertical="top"/>
    </xf>
    <xf numFmtId="0" fontId="3" fillId="0" borderId="0" xfId="7" applyFont="1" applyAlignment="1">
      <alignment horizontal="center"/>
    </xf>
    <xf numFmtId="0" fontId="3" fillId="3" borderId="0" xfId="0" applyFont="1" applyFill="1" applyAlignment="1">
      <alignment horizontal="center"/>
    </xf>
    <xf numFmtId="0" fontId="2" fillId="0" borderId="0" xfId="0" applyFont="1" applyAlignment="1">
      <alignment horizontal="justify"/>
    </xf>
    <xf numFmtId="0" fontId="3" fillId="0" borderId="13" xfId="0" applyFont="1" applyBorder="1" applyAlignment="1">
      <alignment horizontal="left" wrapText="1"/>
    </xf>
    <xf numFmtId="0" fontId="3" fillId="0" borderId="14" xfId="0" applyFont="1" applyBorder="1" applyAlignment="1">
      <alignment horizontal="left" wrapText="1"/>
    </xf>
    <xf numFmtId="1" fontId="3" fillId="0" borderId="14" xfId="0" applyNumberFormat="1" applyFont="1" applyBorder="1" applyAlignment="1">
      <alignment horizontal="left" vertical="top" shrinkToFit="1"/>
    </xf>
    <xf numFmtId="2" fontId="3" fillId="0" borderId="14" xfId="0" applyNumberFormat="1" applyFont="1" applyBorder="1" applyAlignment="1">
      <alignment horizontal="right" vertical="top" shrinkToFit="1"/>
    </xf>
    <xf numFmtId="2" fontId="3" fillId="0" borderId="6" xfId="0" applyNumberFormat="1" applyFont="1" applyBorder="1" applyAlignment="1">
      <alignment horizontal="right" vertical="top"/>
    </xf>
    <xf numFmtId="166" fontId="3" fillId="0" borderId="14" xfId="0" applyNumberFormat="1" applyFont="1" applyBorder="1" applyAlignment="1">
      <alignment horizontal="left" vertical="top" shrinkToFit="1"/>
    </xf>
    <xf numFmtId="2" fontId="3" fillId="0" borderId="16" xfId="0" applyNumberFormat="1" applyFont="1" applyBorder="1" applyAlignment="1">
      <alignment horizontal="right" vertical="top" shrinkToFit="1"/>
    </xf>
    <xf numFmtId="0" fontId="3" fillId="0" borderId="15" xfId="0" applyFont="1" applyBorder="1" applyAlignment="1">
      <alignment horizontal="left" wrapText="1"/>
    </xf>
    <xf numFmtId="2" fontId="2" fillId="0" borderId="15" xfId="0" applyNumberFormat="1" applyFont="1" applyBorder="1" applyAlignment="1">
      <alignment horizontal="right" vertical="top" shrinkToFit="1"/>
    </xf>
    <xf numFmtId="0" fontId="3" fillId="0" borderId="14" xfId="0" applyFont="1" applyBorder="1" applyAlignment="1">
      <alignment horizontal="center" wrapText="1"/>
    </xf>
    <xf numFmtId="0" fontId="3" fillId="0" borderId="14" xfId="0" applyFont="1" applyBorder="1" applyAlignment="1">
      <alignment horizontal="right" wrapText="1"/>
    </xf>
    <xf numFmtId="2" fontId="3" fillId="0" borderId="14" xfId="0" applyNumberFormat="1" applyFont="1" applyBorder="1" applyAlignment="1">
      <alignment horizontal="right" wrapText="1"/>
    </xf>
    <xf numFmtId="0" fontId="17" fillId="0" borderId="2" xfId="0" applyFont="1" applyBorder="1" applyAlignment="1">
      <alignment horizontal="center"/>
    </xf>
    <xf numFmtId="0" fontId="17" fillId="0" borderId="2" xfId="0" applyFont="1" applyBorder="1"/>
    <xf numFmtId="0" fontId="17" fillId="0" borderId="3" xfId="0" applyFont="1" applyBorder="1" applyAlignment="1">
      <alignment horizontal="center"/>
    </xf>
    <xf numFmtId="0" fontId="17" fillId="0" borderId="3" xfId="0" applyFont="1" applyBorder="1"/>
    <xf numFmtId="0" fontId="3" fillId="0" borderId="2" xfId="0" applyFont="1" applyBorder="1" applyAlignment="1">
      <alignment horizontal="left"/>
    </xf>
    <xf numFmtId="0" fontId="22" fillId="0" borderId="14" xfId="0" applyFont="1" applyBorder="1" applyAlignment="1">
      <alignment horizontal="center" wrapText="1"/>
    </xf>
    <xf numFmtId="1" fontId="17" fillId="0" borderId="13" xfId="0" applyNumberFormat="1" applyFont="1" applyBorder="1" applyAlignment="1">
      <alignment horizontal="center" vertical="top"/>
    </xf>
    <xf numFmtId="0" fontId="3" fillId="0" borderId="13" xfId="0" applyFont="1" applyBorder="1"/>
    <xf numFmtId="0" fontId="17" fillId="0" borderId="13" xfId="0" applyFont="1" applyBorder="1" applyAlignment="1">
      <alignment horizontal="center"/>
    </xf>
    <xf numFmtId="0" fontId="17" fillId="0" borderId="13" xfId="0" applyFont="1" applyBorder="1"/>
    <xf numFmtId="2" fontId="3" fillId="0" borderId="13" xfId="0" applyNumberFormat="1" applyFont="1" applyBorder="1"/>
    <xf numFmtId="1" fontId="17" fillId="0" borderId="14" xfId="0" applyNumberFormat="1" applyFont="1" applyBorder="1" applyAlignment="1">
      <alignment horizontal="center" vertical="top"/>
    </xf>
    <xf numFmtId="0" fontId="3" fillId="0" borderId="14" xfId="1" applyFont="1" applyBorder="1" applyAlignment="1">
      <alignment horizontal="left"/>
    </xf>
    <xf numFmtId="0" fontId="17" fillId="0" borderId="14" xfId="0" applyFont="1" applyBorder="1" applyAlignment="1">
      <alignment horizontal="center"/>
    </xf>
    <xf numFmtId="0" fontId="17" fillId="0" borderId="14" xfId="0" applyFont="1" applyBorder="1"/>
    <xf numFmtId="2" fontId="3" fillId="0" borderId="14" xfId="0" applyNumberFormat="1" applyFont="1" applyBorder="1"/>
    <xf numFmtId="0" fontId="3" fillId="0" borderId="14" xfId="0" applyFont="1" applyBorder="1"/>
    <xf numFmtId="0" fontId="3" fillId="0" borderId="0" xfId="0" applyFont="1" applyAlignment="1">
      <alignment vertical="top" wrapText="1"/>
    </xf>
    <xf numFmtId="0" fontId="24" fillId="0" borderId="0" xfId="0" applyFont="1"/>
    <xf numFmtId="0" fontId="25" fillId="0" borderId="0" xfId="0" applyFont="1" applyAlignment="1">
      <alignment vertical="center"/>
    </xf>
    <xf numFmtId="0" fontId="3" fillId="0" borderId="0" xfId="0" applyFont="1" applyAlignment="1">
      <alignment horizontal="center" vertical="center"/>
    </xf>
    <xf numFmtId="0" fontId="6"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5" fillId="0" borderId="0" xfId="0" applyFont="1" applyAlignment="1">
      <alignment horizontal="center" vertical="center"/>
    </xf>
    <xf numFmtId="2" fontId="3" fillId="0" borderId="0" xfId="0" applyNumberFormat="1" applyFont="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15" fillId="0" borderId="0" xfId="0" applyFont="1" applyAlignment="1">
      <alignment vertical="center"/>
    </xf>
    <xf numFmtId="0" fontId="3" fillId="0" borderId="0" xfId="0" quotePrefix="1" applyFont="1" applyAlignment="1">
      <alignment vertical="center"/>
    </xf>
    <xf numFmtId="0" fontId="3" fillId="0" borderId="0" xfId="0" applyFont="1" applyAlignment="1">
      <alignment vertical="center" wrapText="1"/>
    </xf>
    <xf numFmtId="0" fontId="2" fillId="0" borderId="2" xfId="0" applyFont="1" applyBorder="1" applyAlignment="1">
      <alignment vertical="center" wrapText="1"/>
    </xf>
    <xf numFmtId="0" fontId="2" fillId="0" borderId="0" xfId="0" applyFont="1" applyAlignment="1">
      <alignment vertical="center" wrapText="1"/>
    </xf>
    <xf numFmtId="0" fontId="3" fillId="0" borderId="0" xfId="1" applyFont="1" applyAlignment="1">
      <alignment vertical="center" wrapText="1"/>
    </xf>
    <xf numFmtId="2" fontId="3" fillId="0" borderId="0" xfId="1" applyNumberFormat="1" applyFont="1" applyAlignment="1">
      <alignment vertical="center" wrapText="1"/>
    </xf>
    <xf numFmtId="0" fontId="2" fillId="0" borderId="1" xfId="0" applyFont="1" applyBorder="1" applyAlignment="1">
      <alignment vertical="center" wrapText="1"/>
    </xf>
    <xf numFmtId="0" fontId="3" fillId="0" borderId="1" xfId="0" applyFont="1" applyBorder="1" applyAlignment="1">
      <alignment vertical="center" wrapText="1"/>
    </xf>
    <xf numFmtId="0" fontId="3" fillId="0" borderId="8" xfId="0" applyFont="1" applyBorder="1" applyAlignment="1">
      <alignment vertical="center" wrapText="1"/>
    </xf>
    <xf numFmtId="0" fontId="1" fillId="0" borderId="0" xfId="0" applyFont="1" applyAlignment="1">
      <alignment horizontal="center" vertical="center"/>
    </xf>
    <xf numFmtId="164" fontId="3" fillId="0" borderId="0" xfId="0" applyNumberFormat="1" applyFont="1" applyAlignment="1">
      <alignment horizontal="center" vertical="center"/>
    </xf>
    <xf numFmtId="0" fontId="8" fillId="0" borderId="0" xfId="0" applyFont="1" applyAlignment="1">
      <alignment vertical="center"/>
    </xf>
    <xf numFmtId="0" fontId="11" fillId="0" borderId="0" xfId="0" applyFont="1" applyAlignment="1">
      <alignment vertical="center"/>
    </xf>
    <xf numFmtId="0" fontId="3" fillId="0" borderId="0" xfId="1" applyFont="1" applyAlignment="1">
      <alignment horizontal="center" vertical="center"/>
    </xf>
    <xf numFmtId="0" fontId="28" fillId="0" borderId="0" xfId="0" applyFont="1" applyAlignment="1">
      <alignment horizontal="center" vertical="center"/>
    </xf>
    <xf numFmtId="0" fontId="28" fillId="0" borderId="0" xfId="0" applyFont="1" applyAlignment="1">
      <alignment vertical="top"/>
    </xf>
    <xf numFmtId="0" fontId="28" fillId="0" borderId="0" xfId="0" applyFont="1" applyAlignment="1">
      <alignment horizontal="justify" vertical="top"/>
    </xf>
    <xf numFmtId="0" fontId="28" fillId="0" borderId="0" xfId="0" applyFont="1" applyAlignment="1">
      <alignment vertical="center" wrapText="1"/>
    </xf>
    <xf numFmtId="164" fontId="28" fillId="0" borderId="0" xfId="0" applyNumberFormat="1" applyFont="1" applyAlignment="1">
      <alignment horizontal="center" vertical="center"/>
    </xf>
    <xf numFmtId="2" fontId="28" fillId="0" borderId="0" xfId="0" applyNumberFormat="1" applyFont="1" applyAlignment="1">
      <alignment horizontal="center" vertical="center"/>
    </xf>
    <xf numFmtId="0" fontId="28" fillId="0" borderId="0" xfId="0" applyFont="1" applyAlignment="1">
      <alignment horizontal="center" vertical="top"/>
    </xf>
    <xf numFmtId="0" fontId="28" fillId="0" borderId="0" xfId="0" applyFont="1" applyAlignment="1">
      <alignment horizontal="justify" vertical="top" wrapText="1"/>
    </xf>
    <xf numFmtId="0" fontId="28" fillId="0" borderId="0" xfId="0" quotePrefix="1" applyFont="1" applyAlignment="1">
      <alignment horizontal="left"/>
    </xf>
    <xf numFmtId="2" fontId="28" fillId="0" borderId="0" xfId="0" applyNumberFormat="1" applyFont="1" applyAlignment="1">
      <alignment horizontal="center"/>
    </xf>
    <xf numFmtId="0" fontId="28" fillId="0" borderId="0" xfId="0" applyFont="1" applyAlignment="1">
      <alignment horizontal="center"/>
    </xf>
    <xf numFmtId="4" fontId="28" fillId="0" borderId="0" xfId="0" applyNumberFormat="1" applyFont="1" applyAlignment="1">
      <alignment horizontal="center" vertical="center"/>
    </xf>
    <xf numFmtId="0" fontId="28" fillId="0" borderId="0" xfId="0" quotePrefix="1" applyFont="1" applyAlignment="1">
      <alignment horizontal="justify" vertical="top"/>
    </xf>
    <xf numFmtId="0" fontId="28" fillId="0" borderId="0" xfId="0" applyFont="1" applyAlignment="1">
      <alignment horizontal="left"/>
    </xf>
    <xf numFmtId="0" fontId="28" fillId="0" borderId="0" xfId="0" applyFont="1"/>
    <xf numFmtId="0" fontId="2" fillId="0" borderId="10" xfId="0" applyFont="1" applyBorder="1" applyAlignment="1">
      <alignment horizontal="center" vertical="center"/>
    </xf>
    <xf numFmtId="0" fontId="2" fillId="0" borderId="10" xfId="0" applyFont="1" applyBorder="1" applyAlignment="1">
      <alignment vertical="center" wrapText="1"/>
    </xf>
    <xf numFmtId="0" fontId="26" fillId="0" borderId="10" xfId="0" applyFont="1" applyBorder="1" applyAlignment="1">
      <alignment horizontal="center" vertical="center"/>
    </xf>
    <xf numFmtId="0" fontId="27" fillId="0" borderId="10" xfId="0" applyFont="1" applyBorder="1" applyAlignment="1">
      <alignment vertical="center" wrapText="1"/>
    </xf>
    <xf numFmtId="0" fontId="28" fillId="0" borderId="10" xfId="0" applyFont="1" applyBorder="1" applyAlignment="1">
      <alignment horizontal="center" vertical="center"/>
    </xf>
    <xf numFmtId="0" fontId="28" fillId="0" borderId="10" xfId="0" applyFont="1" applyBorder="1" applyAlignment="1">
      <alignment vertical="center" wrapText="1"/>
    </xf>
    <xf numFmtId="164" fontId="28" fillId="0" borderId="10" xfId="0" applyNumberFormat="1" applyFont="1" applyBorder="1" applyAlignment="1">
      <alignment horizontal="center" vertical="center"/>
    </xf>
    <xf numFmtId="2" fontId="28" fillId="0" borderId="10" xfId="0" applyNumberFormat="1" applyFont="1" applyBorder="1" applyAlignment="1">
      <alignment horizontal="center" vertical="center"/>
    </xf>
    <xf numFmtId="0" fontId="28" fillId="0" borderId="10" xfId="1" applyFont="1" applyBorder="1" applyAlignment="1">
      <alignment vertical="center" wrapText="1"/>
    </xf>
    <xf numFmtId="0" fontId="28" fillId="0" borderId="10" xfId="0" quotePrefix="1" applyFont="1" applyBorder="1" applyAlignment="1">
      <alignment vertical="center" wrapText="1"/>
    </xf>
    <xf numFmtId="0" fontId="26" fillId="0" borderId="10" xfId="0" applyFont="1" applyBorder="1" applyAlignment="1">
      <alignment vertical="center" wrapText="1"/>
    </xf>
    <xf numFmtId="0" fontId="28" fillId="0" borderId="10" xfId="4" applyFont="1" applyBorder="1" applyAlignment="1">
      <alignment vertical="center" wrapText="1"/>
    </xf>
    <xf numFmtId="0" fontId="29" fillId="0" borderId="10" xfId="0" applyFont="1" applyBorder="1" applyAlignment="1">
      <alignment vertical="center" wrapText="1"/>
    </xf>
    <xf numFmtId="0" fontId="28" fillId="0" borderId="10" xfId="5" applyFont="1" applyBorder="1" applyAlignment="1">
      <alignment vertical="center" wrapText="1"/>
    </xf>
    <xf numFmtId="4" fontId="28" fillId="0" borderId="10" xfId="0" applyNumberFormat="1" applyFont="1" applyBorder="1" applyAlignment="1">
      <alignment horizontal="center" vertical="center"/>
    </xf>
    <xf numFmtId="0" fontId="30" fillId="0" borderId="10" xfId="0" applyFont="1" applyBorder="1" applyAlignment="1">
      <alignment vertical="center" wrapText="1"/>
    </xf>
    <xf numFmtId="0" fontId="3" fillId="0" borderId="0" xfId="0" applyFont="1" applyAlignment="1">
      <alignment horizontal="left" vertical="center"/>
    </xf>
    <xf numFmtId="0" fontId="3" fillId="0" borderId="0" xfId="0" quotePrefix="1" applyFont="1" applyAlignment="1">
      <alignment horizontal="left" vertical="center"/>
    </xf>
    <xf numFmtId="0" fontId="3" fillId="0" borderId="0" xfId="0" applyFont="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wrapText="1"/>
    </xf>
    <xf numFmtId="0" fontId="3" fillId="0" borderId="0" xfId="1" applyFont="1" applyAlignment="1">
      <alignment horizontal="left" vertical="center" wrapText="1"/>
    </xf>
    <xf numFmtId="0" fontId="2" fillId="0" borderId="2" xfId="0" applyFont="1" applyBorder="1" applyAlignment="1">
      <alignment horizontal="left" vertical="center" wrapText="1"/>
    </xf>
    <xf numFmtId="2" fontId="3" fillId="0" borderId="0" xfId="1" applyNumberFormat="1" applyFont="1" applyAlignment="1">
      <alignment horizontal="left" vertical="center"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 xfId="0" applyFont="1" applyBorder="1" applyAlignment="1">
      <alignment horizontal="left" vertical="center" wrapText="1"/>
    </xf>
    <xf numFmtId="0" fontId="28" fillId="0" borderId="0" xfId="0" applyFont="1" applyAlignment="1">
      <alignment horizontal="left" vertical="center" wrapText="1"/>
    </xf>
    <xf numFmtId="0" fontId="26" fillId="0" borderId="0" xfId="0" applyFont="1" applyAlignment="1">
      <alignment horizontal="left" vertical="center" wrapText="1"/>
    </xf>
    <xf numFmtId="0" fontId="26" fillId="0" borderId="2" xfId="0" applyFont="1" applyBorder="1" applyAlignment="1">
      <alignment horizontal="left" vertical="center" wrapText="1"/>
    </xf>
    <xf numFmtId="2" fontId="28" fillId="0" borderId="0" xfId="1" applyNumberFormat="1" applyFont="1" applyAlignment="1">
      <alignment horizontal="left" vertical="center" wrapText="1"/>
    </xf>
    <xf numFmtId="0" fontId="26" fillId="0" borderId="1" xfId="0" applyFont="1" applyBorder="1" applyAlignment="1">
      <alignment horizontal="left" vertical="center" wrapText="1"/>
    </xf>
    <xf numFmtId="0" fontId="28" fillId="0" borderId="1" xfId="0" applyFont="1" applyBorder="1" applyAlignment="1">
      <alignment horizontal="left" vertical="center" wrapText="1"/>
    </xf>
    <xf numFmtId="0" fontId="28" fillId="0" borderId="8" xfId="0" applyFont="1" applyBorder="1" applyAlignment="1">
      <alignment horizontal="left" vertical="center" wrapText="1"/>
    </xf>
    <xf numFmtId="0" fontId="26" fillId="0" borderId="10" xfId="0" applyFont="1" applyBorder="1" applyAlignment="1">
      <alignment horizontal="center" vertical="top"/>
    </xf>
    <xf numFmtId="0" fontId="26" fillId="0" borderId="10" xfId="0" applyFont="1" applyBorder="1" applyAlignment="1">
      <alignment horizontal="left" vertical="center" wrapText="1"/>
    </xf>
    <xf numFmtId="0" fontId="27" fillId="0" borderId="10" xfId="0" applyFont="1" applyBorder="1" applyAlignment="1">
      <alignment horizontal="left" vertical="center" wrapText="1"/>
    </xf>
    <xf numFmtId="0" fontId="28" fillId="0" borderId="10" xfId="0" applyFont="1" applyBorder="1" applyAlignment="1">
      <alignment horizontal="center" vertical="top"/>
    </xf>
    <xf numFmtId="0" fontId="28" fillId="0" borderId="10" xfId="0" applyFont="1" applyBorder="1" applyAlignment="1">
      <alignment horizontal="left" vertical="top"/>
    </xf>
    <xf numFmtId="0" fontId="28" fillId="0" borderId="10" xfId="0" applyFont="1" applyBorder="1" applyAlignment="1">
      <alignment horizontal="left" vertical="center" wrapText="1"/>
    </xf>
    <xf numFmtId="0" fontId="28" fillId="0" borderId="10" xfId="1" applyFont="1" applyBorder="1" applyAlignment="1">
      <alignment horizontal="left" vertical="center" wrapText="1"/>
    </xf>
    <xf numFmtId="0" fontId="28" fillId="0" borderId="10" xfId="0" quotePrefix="1" applyFont="1" applyBorder="1" applyAlignment="1">
      <alignment horizontal="left" vertical="center" wrapText="1"/>
    </xf>
    <xf numFmtId="0" fontId="30" fillId="0" borderId="10" xfId="0" applyFont="1" applyBorder="1" applyAlignment="1">
      <alignment horizontal="left" vertical="center" wrapText="1"/>
    </xf>
    <xf numFmtId="0" fontId="8" fillId="0" borderId="0" xfId="0" applyFont="1" applyAlignment="1">
      <alignment horizontal="left" vertical="center"/>
    </xf>
    <xf numFmtId="0" fontId="11" fillId="0" borderId="0" xfId="0" applyFont="1" applyAlignment="1">
      <alignment horizontal="left" vertical="center"/>
    </xf>
    <xf numFmtId="0" fontId="15" fillId="0" borderId="0" xfId="0" applyFont="1" applyAlignment="1">
      <alignment horizontal="left" vertical="center"/>
    </xf>
    <xf numFmtId="0" fontId="27" fillId="0" borderId="10" xfId="0" applyFont="1" applyBorder="1" applyAlignment="1">
      <alignment vertical="center"/>
    </xf>
    <xf numFmtId="0" fontId="28" fillId="0" borderId="10" xfId="0" applyFont="1" applyBorder="1" applyAlignment="1">
      <alignment vertical="top"/>
    </xf>
    <xf numFmtId="0" fontId="28" fillId="0" borderId="10" xfId="2" applyFont="1" applyBorder="1" applyAlignment="1">
      <alignment horizontal="left" vertical="center" wrapText="1"/>
    </xf>
    <xf numFmtId="2" fontId="28" fillId="0" borderId="10" xfId="0" applyNumberFormat="1" applyFont="1" applyBorder="1" applyAlignment="1">
      <alignment vertical="center"/>
    </xf>
    <xf numFmtId="0" fontId="28" fillId="0" borderId="10" xfId="0" applyFont="1" applyBorder="1" applyAlignme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2" fillId="0" borderId="10" xfId="0" applyFont="1" applyBorder="1" applyAlignment="1">
      <alignment horizontal="left" vertical="center" wrapText="1"/>
    </xf>
    <xf numFmtId="164" fontId="3" fillId="0" borderId="10" xfId="0" applyNumberFormat="1" applyFont="1" applyBorder="1" applyAlignment="1">
      <alignment horizontal="center" vertical="center"/>
    </xf>
    <xf numFmtId="0" fontId="3" fillId="0" borderId="10" xfId="0" applyFont="1" applyBorder="1" applyAlignment="1">
      <alignment horizontal="left" vertical="center" wrapText="1"/>
    </xf>
    <xf numFmtId="2" fontId="3" fillId="0" borderId="10" xfId="0" applyNumberFormat="1" applyFont="1" applyBorder="1" applyAlignment="1">
      <alignment horizontal="center" vertical="center"/>
    </xf>
    <xf numFmtId="0" fontId="3" fillId="0" borderId="10" xfId="0" applyFont="1" applyBorder="1" applyAlignment="1">
      <alignment horizontal="center" vertical="center"/>
    </xf>
    <xf numFmtId="0" fontId="3" fillId="0" borderId="10" xfId="0" quotePrefix="1" applyFont="1" applyBorder="1" applyAlignment="1">
      <alignment horizontal="left" vertical="center" wrapText="1"/>
    </xf>
    <xf numFmtId="0" fontId="5" fillId="0" borderId="10" xfId="0" applyFont="1" applyBorder="1" applyAlignment="1">
      <alignment horizontal="left" vertical="center" wrapText="1"/>
    </xf>
    <xf numFmtId="0" fontId="14" fillId="0" borderId="0" xfId="0" applyFont="1" applyAlignment="1">
      <alignment horizontal="left" vertical="center"/>
    </xf>
    <xf numFmtId="1" fontId="3" fillId="0" borderId="0" xfId="0" applyNumberFormat="1" applyFont="1" applyAlignment="1">
      <alignment horizontal="left" vertical="center" wrapText="1"/>
    </xf>
    <xf numFmtId="1" fontId="6" fillId="0" borderId="0" xfId="0" applyNumberFormat="1" applyFont="1" applyAlignment="1">
      <alignment horizontal="left" vertical="center" wrapText="1"/>
    </xf>
    <xf numFmtId="1" fontId="28" fillId="0" borderId="10" xfId="0" applyNumberFormat="1" applyFont="1" applyBorder="1" applyAlignment="1">
      <alignment horizontal="left" vertical="center" wrapText="1"/>
    </xf>
    <xf numFmtId="0" fontId="3" fillId="0" borderId="3" xfId="0" applyFont="1" applyBorder="1" applyAlignment="1">
      <alignment horizontal="center" vertical="center"/>
    </xf>
    <xf numFmtId="0" fontId="1" fillId="0" borderId="3" xfId="0" applyFont="1" applyBorder="1" applyAlignment="1">
      <alignment horizontal="center" vertical="center"/>
    </xf>
    <xf numFmtId="0" fontId="3" fillId="0" borderId="3" xfId="0" applyFont="1" applyBorder="1" applyAlignment="1">
      <alignment horizontal="left" vertical="center" wrapText="1"/>
    </xf>
    <xf numFmtId="4" fontId="3" fillId="0" borderId="10" xfId="0" applyNumberFormat="1" applyFont="1" applyBorder="1" applyAlignment="1">
      <alignment horizontal="center" vertical="center"/>
    </xf>
    <xf numFmtId="0" fontId="19" fillId="0" borderId="10" xfId="0" applyFont="1" applyBorder="1" applyAlignment="1">
      <alignment horizontal="left" vertical="center" wrapText="1"/>
    </xf>
    <xf numFmtId="0" fontId="2" fillId="0" borderId="10" xfId="0" applyFont="1" applyBorder="1" applyAlignment="1">
      <alignment horizontal="center" vertical="center"/>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6" fillId="0" borderId="10" xfId="0" applyFont="1" applyBorder="1" applyAlignment="1">
      <alignment horizontal="center" vertical="center"/>
    </xf>
    <xf numFmtId="0" fontId="26" fillId="0" borderId="10" xfId="0" applyFont="1" applyBorder="1" applyAlignment="1">
      <alignment horizontal="left" vertical="center" wrapText="1"/>
    </xf>
    <xf numFmtId="0" fontId="26" fillId="0" borderId="10" xfId="0" applyFont="1" applyBorder="1" applyAlignment="1">
      <alignment horizontal="center" vertical="center" wrapText="1"/>
    </xf>
    <xf numFmtId="0" fontId="3" fillId="0" borderId="0" xfId="0" applyFont="1" applyAlignment="1">
      <alignment horizontal="center"/>
    </xf>
    <xf numFmtId="0" fontId="13" fillId="0" borderId="0" xfId="0" applyFont="1" applyAlignment="1">
      <alignment horizontal="center"/>
    </xf>
  </cellXfs>
  <cellStyles count="8">
    <cellStyle name="Normal" xfId="0" builtinId="0"/>
    <cellStyle name="Normal 2" xfId="4"/>
    <cellStyle name="Normal 3" xfId="5"/>
    <cellStyle name="Normal 4" xfId="2"/>
    <cellStyle name="Normal_Ab-College" xfId="3"/>
    <cellStyle name="Normal_T-TOI-Y3" xfId="1"/>
    <cellStyle name="Normal_T-TOI-Y3 2" xfId="7"/>
    <cellStyle name="Percent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3039358</xdr:colOff>
      <xdr:row>6</xdr:row>
      <xdr:rowOff>0</xdr:rowOff>
    </xdr:to>
    <xdr:pic>
      <xdr:nvPicPr>
        <xdr:cNvPr id="3" name="Picture 2" descr="Hegde LH 1.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00050" y="0"/>
          <a:ext cx="3010783" cy="9715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1</xdr:col>
      <xdr:colOff>3057525</xdr:colOff>
      <xdr:row>5</xdr:row>
      <xdr:rowOff>114300</xdr:rowOff>
    </xdr:to>
    <xdr:pic>
      <xdr:nvPicPr>
        <xdr:cNvPr id="2" name="Picture 1" descr="Hegde LH 1.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0"/>
          <a:ext cx="3019425" cy="9715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38101</xdr:colOff>
      <xdr:row>0</xdr:row>
      <xdr:rowOff>0</xdr:rowOff>
    </xdr:from>
    <xdr:to>
      <xdr:col>1</xdr:col>
      <xdr:colOff>3076575</xdr:colOff>
      <xdr:row>6</xdr:row>
      <xdr:rowOff>0</xdr:rowOff>
    </xdr:to>
    <xdr:pic>
      <xdr:nvPicPr>
        <xdr:cNvPr id="2" name="Picture 1" descr="Hegde LH 1.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09576" y="0"/>
          <a:ext cx="3038474" cy="9715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35935</xdr:colOff>
      <xdr:row>0</xdr:row>
      <xdr:rowOff>44594</xdr:rowOff>
    </xdr:from>
    <xdr:to>
      <xdr:col>1</xdr:col>
      <xdr:colOff>2469139</xdr:colOff>
      <xdr:row>5</xdr:row>
      <xdr:rowOff>134475</xdr:rowOff>
    </xdr:to>
    <xdr:pic>
      <xdr:nvPicPr>
        <xdr:cNvPr id="2" name="Picture 2" descr="Hegde LH 1.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rcRect/>
        <a:stretch>
          <a:fillRect/>
        </a:stretch>
      </xdr:blipFill>
      <xdr:spPr bwMode="auto">
        <a:xfrm>
          <a:off x="416935" y="44594"/>
          <a:ext cx="2433204" cy="89188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1</xdr:col>
      <xdr:colOff>3609974</xdr:colOff>
      <xdr:row>6</xdr:row>
      <xdr:rowOff>19050</xdr:rowOff>
    </xdr:to>
    <xdr:pic>
      <xdr:nvPicPr>
        <xdr:cNvPr id="2" name="Picture 1" descr="Hegde LH 1.jp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52450" y="0"/>
          <a:ext cx="3571874" cy="9906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3040946</xdr:colOff>
      <xdr:row>5</xdr:row>
      <xdr:rowOff>142875</xdr:rowOff>
    </xdr:to>
    <xdr:pic>
      <xdr:nvPicPr>
        <xdr:cNvPr id="3" name="Picture 2" descr="Hegde LH 1.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 y="0"/>
          <a:ext cx="3012371" cy="9525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191</xdr:row>
      <xdr:rowOff>47625</xdr:rowOff>
    </xdr:from>
    <xdr:to>
      <xdr:col>4</xdr:col>
      <xdr:colOff>313277</xdr:colOff>
      <xdr:row>209</xdr:row>
      <xdr:rowOff>19050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a:srcRect t="5202" r="23946" b="4500"/>
        <a:stretch/>
      </xdr:blipFill>
      <xdr:spPr>
        <a:xfrm>
          <a:off x="47625" y="33956625"/>
          <a:ext cx="4580477" cy="3057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6:L402"/>
  <sheetViews>
    <sheetView tabSelected="1" topLeftCell="A77" zoomScaleNormal="100" zoomScaleSheetLayoutView="90" workbookViewId="0">
      <selection activeCell="B92" sqref="B92"/>
    </sheetView>
  </sheetViews>
  <sheetFormatPr defaultColWidth="9.109375" defaultRowHeight="13.8"/>
  <cols>
    <col min="1" max="1" width="5.5546875" style="208" customWidth="1"/>
    <col min="2" max="2" width="59.88671875" style="220" customWidth="1"/>
    <col min="3" max="3" width="9.5546875" style="208" bestFit="1" customWidth="1"/>
    <col min="4" max="4" width="6.109375" style="208" customWidth="1"/>
    <col min="5" max="5" width="6.33203125" style="11" customWidth="1"/>
    <col min="6" max="6" width="7.44140625" style="11" customWidth="1"/>
    <col min="7" max="7" width="9.109375" style="11"/>
    <col min="8" max="8" width="7.5546875" style="11" customWidth="1"/>
    <col min="9" max="16384" width="9.109375" style="11"/>
  </cols>
  <sheetData>
    <row r="6" spans="2:6">
      <c r="E6" s="14"/>
      <c r="F6" s="14"/>
    </row>
    <row r="7" spans="2:6" s="9" customFormat="1">
      <c r="B7" s="219" t="s">
        <v>589</v>
      </c>
      <c r="C7" s="208"/>
      <c r="D7" s="208"/>
    </row>
    <row r="8" spans="2:6" s="9" customFormat="1">
      <c r="B8" s="219" t="s">
        <v>586</v>
      </c>
      <c r="C8" s="208"/>
      <c r="D8" s="208"/>
    </row>
    <row r="9" spans="2:6" s="31" customFormat="1">
      <c r="B9" s="208"/>
      <c r="C9" s="209"/>
      <c r="D9" s="209"/>
    </row>
    <row r="10" spans="2:6" s="9" customFormat="1" ht="18">
      <c r="B10" s="230" t="s">
        <v>128</v>
      </c>
      <c r="C10" s="208"/>
      <c r="D10" s="210"/>
    </row>
    <row r="11" spans="2:6" s="9" customFormat="1" ht="18">
      <c r="B11" s="230" t="s">
        <v>133</v>
      </c>
      <c r="C11" s="208"/>
      <c r="D11" s="210"/>
    </row>
    <row r="12" spans="2:6" s="23" customFormat="1" ht="18">
      <c r="B12" s="230" t="s">
        <v>75</v>
      </c>
      <c r="C12" s="208"/>
      <c r="D12" s="211"/>
    </row>
    <row r="13" spans="2:6">
      <c r="B13" s="208"/>
    </row>
    <row r="14" spans="2:6" ht="18">
      <c r="B14" s="231" t="s">
        <v>132</v>
      </c>
    </row>
    <row r="15" spans="2:6">
      <c r="B15" s="218" t="s">
        <v>587</v>
      </c>
      <c r="C15" s="212"/>
      <c r="D15" s="212"/>
    </row>
    <row r="17" spans="1:8">
      <c r="A17" s="228"/>
    </row>
    <row r="18" spans="1:8">
      <c r="A18" s="228"/>
    </row>
    <row r="20" spans="1:8">
      <c r="A20" s="317" t="s">
        <v>0</v>
      </c>
      <c r="B20" s="318" t="s">
        <v>20</v>
      </c>
      <c r="C20" s="317" t="s">
        <v>21</v>
      </c>
      <c r="D20" s="317" t="s">
        <v>22</v>
      </c>
    </row>
    <row r="21" spans="1:8">
      <c r="A21" s="317"/>
      <c r="B21" s="318"/>
      <c r="C21" s="317"/>
      <c r="D21" s="317"/>
    </row>
    <row r="22" spans="1:8">
      <c r="A22" s="248"/>
      <c r="B22" s="249"/>
      <c r="C22" s="248"/>
      <c r="D22" s="248"/>
    </row>
    <row r="23" spans="1:8" s="234" customFormat="1" ht="13.2">
      <c r="A23" s="250" t="s">
        <v>402</v>
      </c>
      <c r="B23" s="251" t="s">
        <v>403</v>
      </c>
      <c r="C23" s="252"/>
      <c r="D23" s="252"/>
      <c r="F23" s="235"/>
    </row>
    <row r="24" spans="1:8" s="234" customFormat="1" ht="13.2">
      <c r="A24" s="252"/>
      <c r="B24" s="253"/>
      <c r="C24" s="252"/>
      <c r="D24" s="252"/>
    </row>
    <row r="25" spans="1:8" s="234" customFormat="1" ht="105.6">
      <c r="A25" s="254">
        <v>1</v>
      </c>
      <c r="B25" s="253" t="s">
        <v>834</v>
      </c>
      <c r="C25" s="255">
        <f xml:space="preserve"> 'Det-Kit'!G7</f>
        <v>1632</v>
      </c>
      <c r="D25" s="255" t="s">
        <v>9</v>
      </c>
      <c r="F25" s="235"/>
    </row>
    <row r="26" spans="1:8" s="234" customFormat="1" ht="13.2">
      <c r="A26" s="252"/>
      <c r="B26" s="253"/>
      <c r="C26" s="255"/>
      <c r="D26" s="255"/>
    </row>
    <row r="27" spans="1:8" s="234" customFormat="1" ht="13.2">
      <c r="A27" s="254">
        <f>A25+1</f>
        <v>2</v>
      </c>
      <c r="B27" s="253" t="s">
        <v>130</v>
      </c>
      <c r="C27" s="255">
        <f>'Det-Kit'!G11</f>
        <v>1075</v>
      </c>
      <c r="D27" s="255" t="s">
        <v>9</v>
      </c>
    </row>
    <row r="28" spans="1:8" s="234" customFormat="1" ht="13.2">
      <c r="A28" s="252"/>
      <c r="B28" s="253"/>
      <c r="C28" s="252"/>
      <c r="D28" s="252"/>
    </row>
    <row r="29" spans="1:8" s="234" customFormat="1" ht="79.2">
      <c r="A29" s="254">
        <f>A27+1</f>
        <v>3</v>
      </c>
      <c r="B29" s="253" t="s">
        <v>835</v>
      </c>
      <c r="C29" s="255">
        <f>'Det-Kit'!G23</f>
        <v>2707</v>
      </c>
      <c r="D29" s="255" t="s">
        <v>9</v>
      </c>
      <c r="H29" s="235"/>
    </row>
    <row r="30" spans="1:8" s="234" customFormat="1" ht="13.2">
      <c r="A30" s="254"/>
      <c r="B30" s="253"/>
      <c r="C30" s="255"/>
      <c r="D30" s="255"/>
    </row>
    <row r="31" spans="1:8" s="234" customFormat="1" ht="39.6">
      <c r="A31" s="254">
        <f>A29+1</f>
        <v>4</v>
      </c>
      <c r="B31" s="253" t="s">
        <v>836</v>
      </c>
      <c r="C31" s="255">
        <f>'Det-Kit'!G25</f>
        <v>479</v>
      </c>
      <c r="D31" s="255" t="s">
        <v>9</v>
      </c>
    </row>
    <row r="32" spans="1:8" s="234" customFormat="1" ht="13.2">
      <c r="A32" s="254"/>
      <c r="B32" s="253"/>
      <c r="C32" s="255"/>
      <c r="D32" s="255"/>
    </row>
    <row r="33" spans="1:7" s="234" customFormat="1" ht="52.8">
      <c r="A33" s="254">
        <f>A31+1</f>
        <v>5</v>
      </c>
      <c r="B33" s="253" t="s">
        <v>837</v>
      </c>
      <c r="C33" s="255">
        <f>'Det-Kit'!G39</f>
        <v>293</v>
      </c>
      <c r="D33" s="255" t="s">
        <v>9</v>
      </c>
      <c r="G33" s="239"/>
    </row>
    <row r="34" spans="1:7" s="234" customFormat="1" ht="13.2">
      <c r="A34" s="254"/>
      <c r="B34" s="253"/>
      <c r="C34" s="252"/>
      <c r="D34" s="252"/>
    </row>
    <row r="35" spans="1:7" s="234" customFormat="1" ht="66">
      <c r="A35" s="254">
        <f>A33+1</f>
        <v>6</v>
      </c>
      <c r="B35" s="253" t="s">
        <v>838</v>
      </c>
      <c r="C35" s="255">
        <f>'Det-Kit'!G92</f>
        <v>230</v>
      </c>
      <c r="D35" s="255" t="s">
        <v>9</v>
      </c>
      <c r="G35" s="239"/>
    </row>
    <row r="36" spans="1:7" s="234" customFormat="1" ht="13.2">
      <c r="A36" s="254"/>
      <c r="B36" s="253"/>
      <c r="C36" s="252"/>
      <c r="D36" s="252"/>
      <c r="G36" s="239"/>
    </row>
    <row r="37" spans="1:7" s="234" customFormat="1" ht="66">
      <c r="A37" s="254">
        <f>A35+1</f>
        <v>7</v>
      </c>
      <c r="B37" s="253" t="s">
        <v>839</v>
      </c>
      <c r="C37" s="252"/>
      <c r="D37" s="252"/>
    </row>
    <row r="38" spans="1:7" s="234" customFormat="1" ht="13.2">
      <c r="A38" s="254"/>
      <c r="B38" s="256" t="s">
        <v>56</v>
      </c>
      <c r="C38" s="255">
        <f>'Det-Kit'!G105</f>
        <v>2</v>
      </c>
      <c r="D38" s="255" t="s">
        <v>9</v>
      </c>
    </row>
    <row r="39" spans="1:7" s="234" customFormat="1" ht="13.2">
      <c r="A39" s="254"/>
      <c r="B39" s="256" t="s">
        <v>445</v>
      </c>
      <c r="C39" s="255">
        <f>'Det-Kit'!G120</f>
        <v>3</v>
      </c>
      <c r="D39" s="255" t="s">
        <v>9</v>
      </c>
    </row>
    <row r="40" spans="1:7" s="234" customFormat="1" ht="13.2">
      <c r="A40" s="254"/>
      <c r="B40" s="256" t="s">
        <v>57</v>
      </c>
      <c r="C40" s="255">
        <f>'Det-Kit'!G129</f>
        <v>2</v>
      </c>
      <c r="D40" s="255" t="s">
        <v>9</v>
      </c>
    </row>
    <row r="41" spans="1:7" s="234" customFormat="1" ht="13.2">
      <c r="A41" s="254"/>
      <c r="B41" s="256"/>
      <c r="C41" s="255"/>
      <c r="D41" s="255"/>
    </row>
    <row r="42" spans="1:7" s="234" customFormat="1" ht="158.4">
      <c r="A42" s="254"/>
      <c r="B42" s="257" t="s">
        <v>840</v>
      </c>
      <c r="C42" s="255"/>
      <c r="D42" s="252"/>
    </row>
    <row r="43" spans="1:7" s="234" customFormat="1" ht="13.2">
      <c r="A43" s="254">
        <f>A37+1</f>
        <v>8</v>
      </c>
      <c r="B43" s="253" t="s">
        <v>841</v>
      </c>
      <c r="C43" s="255">
        <f>'Det-Kit'!G163</f>
        <v>324</v>
      </c>
      <c r="D43" s="255" t="s">
        <v>9</v>
      </c>
    </row>
    <row r="44" spans="1:7" s="234" customFormat="1" ht="13.2">
      <c r="A44" s="254"/>
      <c r="B44" s="256"/>
      <c r="C44" s="255"/>
      <c r="D44" s="255"/>
    </row>
    <row r="45" spans="1:7" s="234" customFormat="1" ht="13.2">
      <c r="A45" s="254"/>
      <c r="B45" s="256"/>
      <c r="C45" s="255"/>
      <c r="D45" s="255"/>
    </row>
    <row r="46" spans="1:7" s="234" customFormat="1" ht="13.2">
      <c r="A46" s="254">
        <f>A43+1</f>
        <v>9</v>
      </c>
      <c r="B46" s="253" t="s">
        <v>842</v>
      </c>
      <c r="C46" s="252"/>
      <c r="D46" s="252"/>
    </row>
    <row r="47" spans="1:7" s="234" customFormat="1" ht="13.2">
      <c r="A47" s="254"/>
      <c r="B47" s="256" t="s">
        <v>56</v>
      </c>
      <c r="C47" s="255">
        <f>'Det-Kit'!G184</f>
        <v>70</v>
      </c>
      <c r="D47" s="255" t="s">
        <v>9</v>
      </c>
    </row>
    <row r="48" spans="1:7" s="234" customFormat="1" ht="13.2">
      <c r="A48" s="254"/>
      <c r="B48" s="256" t="s">
        <v>445</v>
      </c>
      <c r="C48" s="255">
        <f>'Det-Kit'!G192</f>
        <v>20</v>
      </c>
      <c r="D48" s="255" t="s">
        <v>9</v>
      </c>
    </row>
    <row r="49" spans="1:4" s="234" customFormat="1" ht="13.2">
      <c r="A49" s="254"/>
      <c r="B49" s="256" t="s">
        <v>57</v>
      </c>
      <c r="C49" s="255">
        <f>'Det-Kit'!G196</f>
        <v>13</v>
      </c>
      <c r="D49" s="255" t="s">
        <v>9</v>
      </c>
    </row>
    <row r="50" spans="1:4" s="234" customFormat="1" ht="13.2">
      <c r="A50" s="254"/>
      <c r="B50" s="256" t="s">
        <v>463</v>
      </c>
      <c r="C50" s="255">
        <f>'Det-Kit'!G204</f>
        <v>7</v>
      </c>
      <c r="D50" s="255" t="s">
        <v>9</v>
      </c>
    </row>
    <row r="51" spans="1:4" s="234" customFormat="1" ht="13.2">
      <c r="A51" s="254"/>
      <c r="B51" s="253"/>
      <c r="C51" s="255"/>
      <c r="D51" s="255"/>
    </row>
    <row r="52" spans="1:4" s="234" customFormat="1" ht="13.2">
      <c r="A52" s="254">
        <f>A46+1</f>
        <v>10</v>
      </c>
      <c r="B52" s="253" t="s">
        <v>843</v>
      </c>
      <c r="C52" s="255">
        <f>'Det-Kit'!G228</f>
        <v>54</v>
      </c>
      <c r="D52" s="255" t="s">
        <v>9</v>
      </c>
    </row>
    <row r="53" spans="1:4" s="234" customFormat="1" ht="13.2">
      <c r="A53" s="254"/>
      <c r="B53" s="253"/>
      <c r="C53" s="255"/>
      <c r="D53" s="255"/>
    </row>
    <row r="54" spans="1:4" s="234" customFormat="1" ht="13.2">
      <c r="A54" s="254">
        <f>A52+1</f>
        <v>11</v>
      </c>
      <c r="B54" s="253" t="s">
        <v>844</v>
      </c>
      <c r="C54" s="252"/>
      <c r="D54" s="252"/>
    </row>
    <row r="55" spans="1:4" s="234" customFormat="1" ht="13.2">
      <c r="A55" s="254"/>
      <c r="B55" s="256" t="s">
        <v>56</v>
      </c>
      <c r="C55" s="255">
        <f>'Det-Kit'!G262</f>
        <v>64</v>
      </c>
      <c r="D55" s="255" t="s">
        <v>9</v>
      </c>
    </row>
    <row r="56" spans="1:4" s="234" customFormat="1" ht="13.2">
      <c r="A56" s="254"/>
      <c r="B56" s="256" t="s">
        <v>445</v>
      </c>
      <c r="C56" s="255">
        <f>'Det-Kit'!G291</f>
        <v>64</v>
      </c>
      <c r="D56" s="255" t="s">
        <v>9</v>
      </c>
    </row>
    <row r="57" spans="1:4" s="234" customFormat="1" ht="13.2">
      <c r="A57" s="254"/>
      <c r="B57" s="256" t="s">
        <v>57</v>
      </c>
      <c r="C57" s="255">
        <f>'Det-Kit'!G309</f>
        <v>28</v>
      </c>
      <c r="D57" s="255" t="s">
        <v>9</v>
      </c>
    </row>
    <row r="58" spans="1:4" s="234" customFormat="1" ht="13.2">
      <c r="A58" s="254"/>
      <c r="B58" s="256" t="s">
        <v>463</v>
      </c>
      <c r="C58" s="255">
        <f>'Det-Kit'!G318</f>
        <v>28</v>
      </c>
      <c r="D58" s="255" t="s">
        <v>9</v>
      </c>
    </row>
    <row r="59" spans="1:4" s="234" customFormat="1" ht="13.2">
      <c r="A59" s="254"/>
      <c r="B59" s="253"/>
      <c r="C59" s="255"/>
      <c r="D59" s="255"/>
    </row>
    <row r="60" spans="1:4" s="234" customFormat="1" ht="13.2">
      <c r="A60" s="254">
        <f>A54+1</f>
        <v>12</v>
      </c>
      <c r="B60" s="253" t="s">
        <v>845</v>
      </c>
      <c r="C60" s="255"/>
      <c r="D60" s="255"/>
    </row>
    <row r="61" spans="1:4" s="234" customFormat="1" ht="13.2">
      <c r="A61" s="254"/>
      <c r="B61" s="256" t="s">
        <v>56</v>
      </c>
      <c r="C61" s="255">
        <f>'Det-Kit'!G339</f>
        <v>4</v>
      </c>
      <c r="D61" s="255" t="s">
        <v>9</v>
      </c>
    </row>
    <row r="62" spans="1:4" s="234" customFormat="1" ht="13.2">
      <c r="A62" s="254"/>
      <c r="B62" s="256" t="s">
        <v>445</v>
      </c>
      <c r="C62" s="255">
        <f>'Det-Kit'!G355</f>
        <v>4</v>
      </c>
      <c r="D62" s="255" t="s">
        <v>9</v>
      </c>
    </row>
    <row r="63" spans="1:4" s="234" customFormat="1" ht="13.2">
      <c r="A63" s="254"/>
      <c r="B63" s="256" t="s">
        <v>57</v>
      </c>
      <c r="C63" s="255">
        <f>'Det-Kit'!G366</f>
        <v>3</v>
      </c>
      <c r="D63" s="255" t="s">
        <v>9</v>
      </c>
    </row>
    <row r="64" spans="1:4" s="234" customFormat="1" ht="13.2">
      <c r="A64" s="254"/>
      <c r="B64" s="256"/>
      <c r="C64" s="255"/>
      <c r="D64" s="255"/>
    </row>
    <row r="65" spans="1:4" s="234" customFormat="1" ht="13.2">
      <c r="A65" s="254">
        <f>A60+1</f>
        <v>13</v>
      </c>
      <c r="B65" s="253" t="s">
        <v>846</v>
      </c>
      <c r="C65" s="255"/>
      <c r="D65" s="255"/>
    </row>
    <row r="66" spans="1:4" s="234" customFormat="1" ht="13.2">
      <c r="A66" s="254"/>
      <c r="B66" s="256" t="s">
        <v>56</v>
      </c>
      <c r="C66" s="255">
        <f>'Det-Kit'!G383</f>
        <v>11</v>
      </c>
      <c r="D66" s="255" t="s">
        <v>9</v>
      </c>
    </row>
    <row r="67" spans="1:4" s="234" customFormat="1" ht="13.2">
      <c r="A67" s="254"/>
      <c r="B67" s="256" t="s">
        <v>445</v>
      </c>
      <c r="C67" s="255">
        <f>'Det-Kit'!G391</f>
        <v>3</v>
      </c>
      <c r="D67" s="255" t="s">
        <v>9</v>
      </c>
    </row>
    <row r="68" spans="1:4" s="234" customFormat="1" ht="13.2">
      <c r="A68" s="254"/>
      <c r="B68" s="256" t="s">
        <v>57</v>
      </c>
      <c r="C68" s="255">
        <f>'Det-Kit'!G399</f>
        <v>3</v>
      </c>
      <c r="D68" s="255" t="s">
        <v>9</v>
      </c>
    </row>
    <row r="69" spans="1:4" s="234" customFormat="1" ht="13.2">
      <c r="A69" s="254"/>
      <c r="B69" s="256"/>
      <c r="C69" s="255"/>
      <c r="D69" s="255"/>
    </row>
    <row r="70" spans="1:4" s="234" customFormat="1" ht="13.2">
      <c r="A70" s="254">
        <f>A65+1</f>
        <v>14</v>
      </c>
      <c r="B70" s="253" t="s">
        <v>847</v>
      </c>
      <c r="C70" s="255"/>
      <c r="D70" s="255"/>
    </row>
    <row r="71" spans="1:4" s="234" customFormat="1" ht="13.2">
      <c r="A71" s="254"/>
      <c r="B71" s="256" t="s">
        <v>56</v>
      </c>
      <c r="C71" s="255">
        <f>'Det-Kit'!G417</f>
        <v>134</v>
      </c>
      <c r="D71" s="255" t="s">
        <v>9</v>
      </c>
    </row>
    <row r="72" spans="1:4" s="234" customFormat="1" ht="13.2">
      <c r="A72" s="254"/>
      <c r="B72" s="256" t="s">
        <v>445</v>
      </c>
      <c r="C72" s="255">
        <f>'Det-Kit'!G425</f>
        <v>132</v>
      </c>
      <c r="D72" s="255" t="s">
        <v>9</v>
      </c>
    </row>
    <row r="73" spans="1:4" s="234" customFormat="1" ht="13.2">
      <c r="A73" s="254"/>
      <c r="B73" s="256" t="s">
        <v>57</v>
      </c>
      <c r="C73" s="255">
        <f>'Det-Kit'!G432</f>
        <v>33</v>
      </c>
      <c r="D73" s="255" t="s">
        <v>9</v>
      </c>
    </row>
    <row r="74" spans="1:4" s="234" customFormat="1" ht="13.2">
      <c r="A74" s="254"/>
      <c r="B74" s="256" t="s">
        <v>463</v>
      </c>
      <c r="C74" s="255">
        <f>'Det-Kit'!G440</f>
        <v>16</v>
      </c>
      <c r="D74" s="255" t="s">
        <v>9</v>
      </c>
    </row>
    <row r="75" spans="1:4" s="234" customFormat="1" ht="13.2">
      <c r="A75" s="254"/>
      <c r="B75" s="253"/>
      <c r="C75" s="255"/>
      <c r="D75" s="255"/>
    </row>
    <row r="76" spans="1:4" s="234" customFormat="1" ht="13.2">
      <c r="A76" s="254">
        <f>A70+1</f>
        <v>15</v>
      </c>
      <c r="B76" s="253" t="s">
        <v>848</v>
      </c>
      <c r="C76" s="255"/>
      <c r="D76" s="255"/>
    </row>
    <row r="77" spans="1:4" s="234" customFormat="1" ht="13.2">
      <c r="A77" s="254"/>
      <c r="B77" s="256" t="s">
        <v>56</v>
      </c>
      <c r="C77" s="255">
        <f>'Det-Kit'!G449</f>
        <v>31</v>
      </c>
      <c r="D77" s="255" t="s">
        <v>9</v>
      </c>
    </row>
    <row r="78" spans="1:4" s="234" customFormat="1" ht="13.2">
      <c r="A78" s="254"/>
      <c r="B78" s="256" t="s">
        <v>463</v>
      </c>
      <c r="C78" s="255">
        <f>'Det-Kit'!G456</f>
        <v>14</v>
      </c>
      <c r="D78" s="255" t="s">
        <v>9</v>
      </c>
    </row>
    <row r="79" spans="1:4" s="234" customFormat="1" ht="13.2">
      <c r="A79" s="254"/>
      <c r="B79" s="253"/>
      <c r="C79" s="255"/>
      <c r="D79" s="255"/>
    </row>
    <row r="80" spans="1:4" s="234" customFormat="1" ht="13.2">
      <c r="A80" s="254"/>
      <c r="B80" s="253"/>
      <c r="C80" s="255"/>
      <c r="D80" s="255"/>
    </row>
    <row r="81" spans="1:4" s="234" customFormat="1" ht="26.4">
      <c r="A81" s="254">
        <f>A76+1</f>
        <v>16</v>
      </c>
      <c r="B81" s="253" t="s">
        <v>849</v>
      </c>
      <c r="C81" s="255"/>
      <c r="D81" s="255"/>
    </row>
    <row r="82" spans="1:4" s="234" customFormat="1" ht="13.2">
      <c r="A82" s="254"/>
      <c r="B82" s="256" t="s">
        <v>56</v>
      </c>
      <c r="C82" s="255">
        <f>'Det-Kit'!G470</f>
        <v>5</v>
      </c>
      <c r="D82" s="255" t="s">
        <v>9</v>
      </c>
    </row>
    <row r="83" spans="1:4" s="234" customFormat="1" ht="13.2">
      <c r="A83" s="254"/>
      <c r="B83" s="256" t="s">
        <v>445</v>
      </c>
      <c r="C83" s="255">
        <f>'Det-Kit'!G478</f>
        <v>2</v>
      </c>
      <c r="D83" s="255" t="s">
        <v>9</v>
      </c>
    </row>
    <row r="84" spans="1:4" s="234" customFormat="1" ht="13.2">
      <c r="A84" s="254"/>
      <c r="B84" s="256" t="s">
        <v>57</v>
      </c>
      <c r="C84" s="255">
        <f>'Det-Kit'!G487</f>
        <v>4</v>
      </c>
      <c r="D84" s="255" t="s">
        <v>9</v>
      </c>
    </row>
    <row r="85" spans="1:4" s="234" customFormat="1" ht="13.2">
      <c r="A85" s="254"/>
      <c r="B85" s="253"/>
      <c r="C85" s="255"/>
      <c r="D85" s="255"/>
    </row>
    <row r="86" spans="1:4" s="234" customFormat="1" ht="39.6">
      <c r="A86" s="254">
        <f>A81+1</f>
        <v>17</v>
      </c>
      <c r="B86" s="253" t="s">
        <v>850</v>
      </c>
      <c r="C86" s="255"/>
      <c r="D86" s="255"/>
    </row>
    <row r="87" spans="1:4" s="234" customFormat="1" ht="13.2">
      <c r="A87" s="254"/>
      <c r="B87" s="256" t="s">
        <v>56</v>
      </c>
      <c r="C87" s="255">
        <f>'Det-Kit'!G492</f>
        <v>1</v>
      </c>
      <c r="D87" s="255" t="s">
        <v>9</v>
      </c>
    </row>
    <row r="88" spans="1:4" s="234" customFormat="1" ht="13.2">
      <c r="A88" s="254"/>
      <c r="B88" s="256" t="s">
        <v>445</v>
      </c>
      <c r="C88" s="255">
        <f>'Det-Kit'!G499</f>
        <v>2</v>
      </c>
      <c r="D88" s="255" t="s">
        <v>9</v>
      </c>
    </row>
    <row r="89" spans="1:4" s="234" customFormat="1" ht="13.2">
      <c r="A89" s="254"/>
      <c r="B89" s="256" t="s">
        <v>57</v>
      </c>
      <c r="C89" s="255">
        <f>'Det-Kit'!G506</f>
        <v>1</v>
      </c>
      <c r="D89" s="255" t="s">
        <v>9</v>
      </c>
    </row>
    <row r="90" spans="1:4" s="234" customFormat="1" ht="13.2">
      <c r="A90" s="254"/>
      <c r="B90" s="253"/>
      <c r="C90" s="255"/>
      <c r="D90" s="255"/>
    </row>
    <row r="91" spans="1:4" s="234" customFormat="1" ht="26.4">
      <c r="A91" s="254"/>
      <c r="B91" s="257" t="s">
        <v>851</v>
      </c>
      <c r="C91" s="252"/>
      <c r="D91" s="252"/>
    </row>
    <row r="92" spans="1:4" s="234" customFormat="1" ht="13.2">
      <c r="A92" s="254">
        <f>A86+1</f>
        <v>18</v>
      </c>
      <c r="B92" s="253" t="s">
        <v>852</v>
      </c>
      <c r="C92" s="255">
        <f>'Det-Kit'!G539</f>
        <v>733</v>
      </c>
      <c r="D92" s="255" t="s">
        <v>47</v>
      </c>
    </row>
    <row r="93" spans="1:4" s="234" customFormat="1" ht="13.2">
      <c r="A93" s="254"/>
      <c r="B93" s="257"/>
      <c r="C93" s="252"/>
      <c r="D93" s="252"/>
    </row>
    <row r="94" spans="1:4" s="234" customFormat="1" ht="13.2">
      <c r="A94" s="254">
        <f>A92+1</f>
        <v>19</v>
      </c>
      <c r="B94" s="253" t="s">
        <v>853</v>
      </c>
      <c r="C94" s="252"/>
      <c r="D94" s="252"/>
    </row>
    <row r="95" spans="1:4" s="234" customFormat="1" ht="13.2">
      <c r="A95" s="254"/>
      <c r="B95" s="256" t="s">
        <v>56</v>
      </c>
      <c r="C95" s="255">
        <f>'Det-Kit'!G558</f>
        <v>186</v>
      </c>
      <c r="D95" s="255" t="s">
        <v>47</v>
      </c>
    </row>
    <row r="96" spans="1:4" s="234" customFormat="1" ht="13.2">
      <c r="A96" s="254"/>
      <c r="B96" s="256" t="s">
        <v>445</v>
      </c>
      <c r="C96" s="255">
        <f>'Det-Kit'!G566</f>
        <v>211</v>
      </c>
      <c r="D96" s="255" t="s">
        <v>47</v>
      </c>
    </row>
    <row r="97" spans="1:4" s="234" customFormat="1" ht="13.2">
      <c r="A97" s="254"/>
      <c r="B97" s="256" t="s">
        <v>57</v>
      </c>
      <c r="C97" s="255">
        <f>'Det-Kit'!G570</f>
        <v>134</v>
      </c>
      <c r="D97" s="255" t="s">
        <v>47</v>
      </c>
    </row>
    <row r="98" spans="1:4" s="234" customFormat="1" ht="13.2">
      <c r="A98" s="254"/>
      <c r="B98" s="256" t="s">
        <v>463</v>
      </c>
      <c r="C98" s="255">
        <f>'Det-Kit'!G579</f>
        <v>68</v>
      </c>
      <c r="D98" s="255" t="s">
        <v>47</v>
      </c>
    </row>
    <row r="99" spans="1:4" s="234" customFormat="1" ht="13.2">
      <c r="A99" s="254"/>
      <c r="B99" s="251"/>
      <c r="C99" s="252"/>
      <c r="D99" s="252"/>
    </row>
    <row r="100" spans="1:4" s="234" customFormat="1" ht="13.2">
      <c r="A100" s="254">
        <f>A94+1</f>
        <v>20</v>
      </c>
      <c r="B100" s="253" t="s">
        <v>854</v>
      </c>
      <c r="C100" s="252"/>
      <c r="D100" s="252"/>
    </row>
    <row r="101" spans="1:4" s="234" customFormat="1" ht="13.2">
      <c r="A101" s="254"/>
      <c r="B101" s="256" t="s">
        <v>56</v>
      </c>
      <c r="C101" s="255">
        <f>'Det-Kit'!G603</f>
        <v>466</v>
      </c>
      <c r="D101" s="255" t="s">
        <v>47</v>
      </c>
    </row>
    <row r="102" spans="1:4" s="234" customFormat="1" ht="13.2">
      <c r="A102" s="254"/>
      <c r="B102" s="258"/>
      <c r="C102" s="255"/>
      <c r="D102" s="255"/>
    </row>
    <row r="103" spans="1:4" s="234" customFormat="1" ht="13.2">
      <c r="A103" s="254">
        <f>A100+1</f>
        <v>21</v>
      </c>
      <c r="B103" s="253" t="s">
        <v>855</v>
      </c>
      <c r="C103" s="252"/>
      <c r="D103" s="252"/>
    </row>
    <row r="104" spans="1:4" s="234" customFormat="1" ht="13.2">
      <c r="A104" s="254"/>
      <c r="B104" s="256" t="s">
        <v>56</v>
      </c>
      <c r="C104" s="255">
        <f>'Det-Kit'!G637</f>
        <v>658</v>
      </c>
      <c r="D104" s="255" t="s">
        <v>47</v>
      </c>
    </row>
    <row r="105" spans="1:4" s="234" customFormat="1" ht="13.2">
      <c r="A105" s="254"/>
      <c r="B105" s="256" t="s">
        <v>445</v>
      </c>
      <c r="C105" s="255">
        <f>'Det-Kit'!G666</f>
        <v>615</v>
      </c>
      <c r="D105" s="255" t="s">
        <v>47</v>
      </c>
    </row>
    <row r="106" spans="1:4" s="234" customFormat="1" ht="13.2">
      <c r="A106" s="254"/>
      <c r="B106" s="256" t="s">
        <v>57</v>
      </c>
      <c r="C106" s="255">
        <f>'Det-Kit'!G684</f>
        <v>255</v>
      </c>
      <c r="D106" s="255" t="s">
        <v>47</v>
      </c>
    </row>
    <row r="107" spans="1:4" s="234" customFormat="1" ht="13.2">
      <c r="A107" s="254"/>
      <c r="B107" s="256" t="s">
        <v>463</v>
      </c>
      <c r="C107" s="255">
        <f>'Det-Kit'!G693</f>
        <v>128</v>
      </c>
      <c r="D107" s="255" t="s">
        <v>47</v>
      </c>
    </row>
    <row r="108" spans="1:4" s="234" customFormat="1" ht="13.2">
      <c r="A108" s="254"/>
      <c r="B108" s="258"/>
      <c r="C108" s="255"/>
      <c r="D108" s="255"/>
    </row>
    <row r="109" spans="1:4" s="234" customFormat="1" ht="13.2">
      <c r="A109" s="254">
        <f>A103+1</f>
        <v>22</v>
      </c>
      <c r="B109" s="253" t="s">
        <v>856</v>
      </c>
      <c r="C109" s="255"/>
      <c r="D109" s="255"/>
    </row>
    <row r="110" spans="1:4" s="234" customFormat="1" ht="13.2">
      <c r="A110" s="254"/>
      <c r="B110" s="256" t="s">
        <v>56</v>
      </c>
      <c r="C110" s="255">
        <f>'Det-Kit'!G714</f>
        <v>68</v>
      </c>
      <c r="D110" s="255" t="s">
        <v>47</v>
      </c>
    </row>
    <row r="111" spans="1:4" s="234" customFormat="1" ht="13.2">
      <c r="A111" s="254"/>
      <c r="B111" s="256" t="s">
        <v>445</v>
      </c>
      <c r="C111" s="255">
        <f>'Det-Kit'!G730</f>
        <v>74</v>
      </c>
      <c r="D111" s="255" t="s">
        <v>47</v>
      </c>
    </row>
    <row r="112" spans="1:4" s="234" customFormat="1" ht="13.2">
      <c r="A112" s="254"/>
      <c r="B112" s="256" t="s">
        <v>57</v>
      </c>
      <c r="C112" s="255">
        <f>'Det-Kit'!G741</f>
        <v>48</v>
      </c>
      <c r="D112" s="255" t="s">
        <v>47</v>
      </c>
    </row>
    <row r="113" spans="1:4" s="234" customFormat="1" ht="13.2">
      <c r="A113" s="254"/>
      <c r="B113" s="258"/>
      <c r="C113" s="252"/>
      <c r="D113" s="252"/>
    </row>
    <row r="114" spans="1:4" s="234" customFormat="1" ht="13.2">
      <c r="A114" s="254">
        <f>A109+1</f>
        <v>23</v>
      </c>
      <c r="B114" s="253" t="s">
        <v>857</v>
      </c>
      <c r="C114" s="255"/>
      <c r="D114" s="255"/>
    </row>
    <row r="115" spans="1:4" s="234" customFormat="1" ht="13.2">
      <c r="A115" s="254"/>
      <c r="B115" s="256" t="s">
        <v>56</v>
      </c>
      <c r="C115" s="255">
        <f>'Det-Kit'!G753</f>
        <v>32</v>
      </c>
      <c r="D115" s="255" t="s">
        <v>47</v>
      </c>
    </row>
    <row r="116" spans="1:4" s="234" customFormat="1" ht="13.2">
      <c r="A116" s="254"/>
      <c r="B116" s="256" t="s">
        <v>445</v>
      </c>
      <c r="C116" s="255">
        <f>'Det-Kit'!G760</f>
        <v>14</v>
      </c>
      <c r="D116" s="255" t="s">
        <v>47</v>
      </c>
    </row>
    <row r="117" spans="1:4" s="234" customFormat="1" ht="13.2">
      <c r="A117" s="254"/>
      <c r="B117" s="256" t="s">
        <v>57</v>
      </c>
      <c r="C117" s="255">
        <f>'Det-Kit'!G767</f>
        <v>14</v>
      </c>
      <c r="D117" s="255" t="s">
        <v>47</v>
      </c>
    </row>
    <row r="118" spans="1:4" s="234" customFormat="1" ht="13.2">
      <c r="A118" s="254"/>
      <c r="B118" s="258"/>
      <c r="C118" s="252"/>
      <c r="D118" s="252"/>
    </row>
    <row r="119" spans="1:4" s="234" customFormat="1" ht="13.2">
      <c r="A119" s="254">
        <f>A114+1</f>
        <v>24</v>
      </c>
      <c r="B119" s="253" t="s">
        <v>858</v>
      </c>
      <c r="C119" s="255"/>
      <c r="D119" s="255"/>
    </row>
    <row r="120" spans="1:4" s="234" customFormat="1" ht="13.2">
      <c r="A120" s="254"/>
      <c r="B120" s="256" t="s">
        <v>56</v>
      </c>
      <c r="C120" s="255">
        <f>'Det-Kit'!G784</f>
        <v>1248</v>
      </c>
      <c r="D120" s="255" t="s">
        <v>47</v>
      </c>
    </row>
    <row r="121" spans="1:4" s="234" customFormat="1" ht="13.2">
      <c r="A121" s="254"/>
      <c r="B121" s="256" t="s">
        <v>445</v>
      </c>
      <c r="C121" s="255">
        <f>'Det-Kit'!G792</f>
        <v>880</v>
      </c>
      <c r="D121" s="255" t="s">
        <v>47</v>
      </c>
    </row>
    <row r="122" spans="1:4" s="234" customFormat="1" ht="13.2">
      <c r="A122" s="254"/>
      <c r="B122" s="256" t="s">
        <v>57</v>
      </c>
      <c r="C122" s="255">
        <f>'Det-Kit'!G799</f>
        <v>345</v>
      </c>
      <c r="D122" s="255" t="s">
        <v>47</v>
      </c>
    </row>
    <row r="123" spans="1:4" s="234" customFormat="1" ht="13.2">
      <c r="A123" s="254"/>
      <c r="B123" s="256" t="s">
        <v>463</v>
      </c>
      <c r="C123" s="255">
        <f>'Det-Kit'!G807</f>
        <v>106</v>
      </c>
      <c r="D123" s="255" t="s">
        <v>47</v>
      </c>
    </row>
    <row r="124" spans="1:4" s="234" customFormat="1" ht="13.2">
      <c r="A124" s="254"/>
      <c r="B124" s="258"/>
      <c r="C124" s="252"/>
      <c r="D124" s="252"/>
    </row>
    <row r="125" spans="1:4" s="234" customFormat="1" ht="13.2">
      <c r="A125" s="254">
        <f>A119+1</f>
        <v>25</v>
      </c>
      <c r="B125" s="253" t="s">
        <v>859</v>
      </c>
      <c r="C125" s="255"/>
      <c r="D125" s="255"/>
    </row>
    <row r="126" spans="1:4" s="234" customFormat="1" ht="13.2">
      <c r="A126" s="254"/>
      <c r="B126" s="256" t="s">
        <v>56</v>
      </c>
      <c r="C126" s="255">
        <f>'Det-Kit'!G824</f>
        <v>169</v>
      </c>
      <c r="D126" s="255" t="s">
        <v>47</v>
      </c>
    </row>
    <row r="127" spans="1:4" s="234" customFormat="1" ht="13.2">
      <c r="A127" s="254"/>
      <c r="B127" s="256" t="s">
        <v>445</v>
      </c>
      <c r="C127" s="255">
        <f>'Det-Kit'!G832</f>
        <v>129</v>
      </c>
      <c r="D127" s="255" t="s">
        <v>47</v>
      </c>
    </row>
    <row r="128" spans="1:4" s="234" customFormat="1" ht="13.2">
      <c r="A128" s="254"/>
      <c r="B128" s="256" t="s">
        <v>57</v>
      </c>
      <c r="C128" s="255">
        <f>'Det-Kit'!G839</f>
        <v>45</v>
      </c>
      <c r="D128" s="255" t="s">
        <v>47</v>
      </c>
    </row>
    <row r="129" spans="1:4" s="234" customFormat="1" ht="13.2">
      <c r="A129" s="254"/>
      <c r="B129" s="256" t="s">
        <v>463</v>
      </c>
      <c r="C129" s="255">
        <f>'Det-Kit'!G846</f>
        <v>3</v>
      </c>
      <c r="D129" s="255" t="s">
        <v>47</v>
      </c>
    </row>
    <row r="130" spans="1:4" s="234" customFormat="1" ht="13.2">
      <c r="A130" s="254"/>
      <c r="B130" s="258"/>
      <c r="C130" s="252"/>
      <c r="D130" s="252"/>
    </row>
    <row r="131" spans="1:4" s="234" customFormat="1" ht="13.2">
      <c r="A131" s="254">
        <f>A125+1</f>
        <v>26</v>
      </c>
      <c r="B131" s="253" t="s">
        <v>860</v>
      </c>
      <c r="C131" s="255"/>
      <c r="D131" s="255"/>
    </row>
    <row r="132" spans="1:4" s="234" customFormat="1" ht="13.2">
      <c r="A132" s="254"/>
      <c r="B132" s="256" t="s">
        <v>56</v>
      </c>
      <c r="C132" s="255">
        <f>'Det-Kit'!G856</f>
        <v>262</v>
      </c>
      <c r="D132" s="255" t="s">
        <v>47</v>
      </c>
    </row>
    <row r="133" spans="1:4" s="234" customFormat="1" ht="13.2">
      <c r="A133" s="254"/>
      <c r="B133" s="256" t="s">
        <v>463</v>
      </c>
      <c r="C133" s="255">
        <f>'Det-Kit'!G863</f>
        <v>131</v>
      </c>
      <c r="D133" s="255" t="s">
        <v>47</v>
      </c>
    </row>
    <row r="134" spans="1:4" s="234" customFormat="1" ht="13.2">
      <c r="A134" s="254"/>
      <c r="B134" s="258"/>
      <c r="C134" s="252"/>
      <c r="D134" s="252"/>
    </row>
    <row r="135" spans="1:4" s="234" customFormat="1" ht="13.2">
      <c r="A135" s="254">
        <f>A131+1</f>
        <v>27</v>
      </c>
      <c r="B135" s="258" t="s">
        <v>861</v>
      </c>
      <c r="C135" s="255"/>
      <c r="D135" s="255"/>
    </row>
    <row r="136" spans="1:4" s="234" customFormat="1" ht="13.2">
      <c r="A136" s="254"/>
      <c r="B136" s="256" t="s">
        <v>56</v>
      </c>
      <c r="C136" s="255">
        <f>'Det-Kit'!G877</f>
        <v>45</v>
      </c>
      <c r="D136" s="255" t="s">
        <v>47</v>
      </c>
    </row>
    <row r="137" spans="1:4" s="234" customFormat="1" ht="13.2">
      <c r="A137" s="254"/>
      <c r="B137" s="256" t="s">
        <v>445</v>
      </c>
      <c r="C137" s="255">
        <f>'Det-Kit'!G885</f>
        <v>16</v>
      </c>
      <c r="D137" s="255" t="s">
        <v>47</v>
      </c>
    </row>
    <row r="138" spans="1:4" s="234" customFormat="1" ht="13.2">
      <c r="A138" s="254"/>
      <c r="B138" s="256" t="s">
        <v>57</v>
      </c>
      <c r="C138" s="255">
        <f>'Det-Kit'!G894</f>
        <v>16</v>
      </c>
      <c r="D138" s="255" t="s">
        <v>47</v>
      </c>
    </row>
    <row r="139" spans="1:4" s="234" customFormat="1" ht="13.2">
      <c r="A139" s="254"/>
      <c r="B139" s="258"/>
      <c r="C139" s="252"/>
      <c r="D139" s="252"/>
    </row>
    <row r="140" spans="1:4" s="234" customFormat="1" ht="79.2">
      <c r="A140" s="254">
        <f>A135+1</f>
        <v>28</v>
      </c>
      <c r="B140" s="259" t="s">
        <v>628</v>
      </c>
      <c r="C140" s="255"/>
      <c r="D140" s="255"/>
    </row>
    <row r="141" spans="1:4" s="234" customFormat="1" ht="13.2">
      <c r="A141" s="254"/>
      <c r="B141" s="256" t="s">
        <v>56</v>
      </c>
      <c r="C141" s="255">
        <f>'Det-Kit'!G899</f>
        <v>270</v>
      </c>
      <c r="D141" s="255" t="s">
        <v>47</v>
      </c>
    </row>
    <row r="142" spans="1:4" s="234" customFormat="1" ht="13.2">
      <c r="A142" s="254"/>
      <c r="B142" s="258"/>
      <c r="C142" s="252"/>
      <c r="D142" s="252"/>
    </row>
    <row r="143" spans="1:4" s="234" customFormat="1" ht="66">
      <c r="A143" s="254">
        <f>A140+1</f>
        <v>29</v>
      </c>
      <c r="B143" s="253" t="s">
        <v>935</v>
      </c>
      <c r="C143" s="252"/>
      <c r="D143" s="252"/>
    </row>
    <row r="144" spans="1:4" s="234" customFormat="1" ht="13.2">
      <c r="A144" s="254"/>
      <c r="B144" s="256" t="s">
        <v>56</v>
      </c>
      <c r="C144" s="255">
        <f>'Det-Kit'!G915</f>
        <v>79225</v>
      </c>
      <c r="D144" s="255" t="s">
        <v>401</v>
      </c>
    </row>
    <row r="145" spans="1:6" s="234" customFormat="1" ht="13.2">
      <c r="A145" s="254"/>
      <c r="B145" s="256" t="s">
        <v>445</v>
      </c>
      <c r="C145" s="255">
        <f>'Det-Kit'!G927</f>
        <v>28850</v>
      </c>
      <c r="D145" s="255" t="s">
        <v>401</v>
      </c>
    </row>
    <row r="146" spans="1:6" s="234" customFormat="1" ht="13.2">
      <c r="A146" s="254"/>
      <c r="B146" s="256" t="s">
        <v>57</v>
      </c>
      <c r="C146" s="255">
        <f>'Det-Kit'!G939</f>
        <v>12525</v>
      </c>
      <c r="D146" s="255" t="s">
        <v>401</v>
      </c>
    </row>
    <row r="147" spans="1:6" s="234" customFormat="1" ht="13.2">
      <c r="A147" s="254"/>
      <c r="B147" s="256" t="s">
        <v>463</v>
      </c>
      <c r="C147" s="255">
        <f>'Det-Kit'!G949</f>
        <v>10300</v>
      </c>
      <c r="D147" s="255" t="s">
        <v>401</v>
      </c>
    </row>
    <row r="148" spans="1:6" s="234" customFormat="1" ht="13.2">
      <c r="A148" s="254"/>
      <c r="B148" s="253"/>
      <c r="C148" s="252"/>
      <c r="D148" s="252"/>
    </row>
    <row r="149" spans="1:6" s="234" customFormat="1" ht="79.2">
      <c r="A149" s="254">
        <f>A143+1</f>
        <v>30</v>
      </c>
      <c r="B149" s="253" t="s">
        <v>862</v>
      </c>
      <c r="C149" s="252"/>
      <c r="D149" s="252"/>
    </row>
    <row r="150" spans="1:6" s="234" customFormat="1" ht="13.2">
      <c r="A150" s="254"/>
      <c r="B150" s="256" t="s">
        <v>56</v>
      </c>
      <c r="C150" s="255">
        <f>'Det-Kit'!G1031</f>
        <v>454</v>
      </c>
      <c r="D150" s="255" t="s">
        <v>9</v>
      </c>
    </row>
    <row r="151" spans="1:6" s="234" customFormat="1" ht="13.2">
      <c r="A151" s="254"/>
      <c r="B151" s="256" t="s">
        <v>445</v>
      </c>
      <c r="C151" s="255">
        <f>'Det-Kit'!G1073</f>
        <v>176</v>
      </c>
      <c r="D151" s="255" t="s">
        <v>9</v>
      </c>
    </row>
    <row r="152" spans="1:6" s="234" customFormat="1" ht="13.2">
      <c r="A152" s="254"/>
      <c r="B152" s="256" t="s">
        <v>57</v>
      </c>
      <c r="C152" s="255">
        <f>'Det-Kit'!G1100</f>
        <v>107</v>
      </c>
      <c r="D152" s="255" t="s">
        <v>9</v>
      </c>
    </row>
    <row r="153" spans="1:6" s="234" customFormat="1" ht="13.2">
      <c r="A153" s="254"/>
      <c r="B153" s="253"/>
      <c r="C153" s="252"/>
      <c r="D153" s="252"/>
    </row>
    <row r="154" spans="1:6" s="234" customFormat="1" ht="39.6">
      <c r="A154" s="254">
        <f>A149+1</f>
        <v>31</v>
      </c>
      <c r="B154" s="253" t="s">
        <v>863</v>
      </c>
      <c r="C154" s="252"/>
      <c r="D154" s="252"/>
      <c r="F154" s="240"/>
    </row>
    <row r="155" spans="1:6" s="234" customFormat="1" ht="13.2">
      <c r="A155" s="254"/>
      <c r="B155" s="256" t="s">
        <v>56</v>
      </c>
      <c r="C155" s="255">
        <f>'Det-Kit'!G1108</f>
        <v>226</v>
      </c>
      <c r="D155" s="255" t="s">
        <v>17</v>
      </c>
    </row>
    <row r="156" spans="1:6" s="234" customFormat="1" ht="13.2">
      <c r="A156" s="254"/>
      <c r="B156" s="256" t="s">
        <v>445</v>
      </c>
      <c r="C156" s="255">
        <f>'Det-Kit'!G1119</f>
        <v>436</v>
      </c>
      <c r="D156" s="255" t="s">
        <v>17</v>
      </c>
    </row>
    <row r="157" spans="1:6" s="234" customFormat="1" ht="13.2">
      <c r="A157" s="254"/>
      <c r="B157" s="256" t="s">
        <v>57</v>
      </c>
      <c r="C157" s="255">
        <f>'Det-Kit'!G1130</f>
        <v>355</v>
      </c>
      <c r="D157" s="255" t="s">
        <v>17</v>
      </c>
    </row>
    <row r="158" spans="1:6" s="234" customFormat="1" ht="13.2">
      <c r="A158" s="254"/>
      <c r="B158" s="253"/>
      <c r="C158" s="255"/>
      <c r="D158" s="255"/>
    </row>
    <row r="159" spans="1:6" s="234" customFormat="1" ht="264">
      <c r="A159" s="254">
        <f>A154+1</f>
        <v>32</v>
      </c>
      <c r="B159" s="253" t="s">
        <v>864</v>
      </c>
      <c r="C159" s="252"/>
      <c r="D159" s="252"/>
    </row>
    <row r="160" spans="1:6" s="234" customFormat="1" ht="13.2">
      <c r="A160" s="254"/>
      <c r="B160" s="256" t="s">
        <v>56</v>
      </c>
      <c r="C160" s="255">
        <f>'Det-Kit'!G1142</f>
        <v>71</v>
      </c>
      <c r="D160" s="255" t="s">
        <v>17</v>
      </c>
    </row>
    <row r="161" spans="1:4" s="234" customFormat="1" ht="13.2">
      <c r="A161" s="254"/>
      <c r="B161" s="256" t="s">
        <v>57</v>
      </c>
      <c r="C161" s="255">
        <f>'Det-Kit'!G1146</f>
        <v>3</v>
      </c>
      <c r="D161" s="255" t="s">
        <v>17</v>
      </c>
    </row>
    <row r="162" spans="1:4" s="234" customFormat="1" ht="13.2">
      <c r="A162" s="254"/>
      <c r="B162" s="253"/>
      <c r="C162" s="255"/>
      <c r="D162" s="255"/>
    </row>
    <row r="163" spans="1:4" s="234" customFormat="1" ht="26.4">
      <c r="A163" s="254">
        <f>A159+1</f>
        <v>33</v>
      </c>
      <c r="B163" s="253" t="s">
        <v>865</v>
      </c>
      <c r="C163" s="255"/>
      <c r="D163" s="255"/>
    </row>
    <row r="164" spans="1:4" s="234" customFormat="1" ht="13.2">
      <c r="A164" s="254"/>
      <c r="B164" s="256" t="s">
        <v>56</v>
      </c>
      <c r="C164" s="255">
        <f>'Det-Kit'!G1151</f>
        <v>5</v>
      </c>
      <c r="D164" s="255" t="s">
        <v>17</v>
      </c>
    </row>
    <row r="165" spans="1:4" s="234" customFormat="1" ht="13.2">
      <c r="A165" s="254"/>
      <c r="B165" s="253"/>
      <c r="C165" s="255"/>
      <c r="D165" s="255"/>
    </row>
    <row r="166" spans="1:4" s="234" customFormat="1" ht="277.2">
      <c r="A166" s="254">
        <f>A163+1</f>
        <v>34</v>
      </c>
      <c r="B166" s="253" t="s">
        <v>866</v>
      </c>
      <c r="C166" s="255"/>
      <c r="D166" s="255"/>
    </row>
    <row r="167" spans="1:4" s="234" customFormat="1" ht="13.2">
      <c r="A167" s="254"/>
      <c r="B167" s="256" t="s">
        <v>56</v>
      </c>
      <c r="C167" s="255">
        <f>'Det-Kit'!G1157</f>
        <v>19</v>
      </c>
      <c r="D167" s="255" t="s">
        <v>53</v>
      </c>
    </row>
    <row r="168" spans="1:4" s="234" customFormat="1" ht="13.2">
      <c r="A168" s="254"/>
      <c r="B168" s="256" t="s">
        <v>445</v>
      </c>
      <c r="C168" s="255">
        <f>'Det-Kit'!G1165</f>
        <v>77</v>
      </c>
      <c r="D168" s="255" t="s">
        <v>53</v>
      </c>
    </row>
    <row r="169" spans="1:4" s="234" customFormat="1" ht="13.2">
      <c r="A169" s="254"/>
      <c r="B169" s="256" t="s">
        <v>57</v>
      </c>
      <c r="C169" s="255">
        <f>'Det-Kit'!G1173</f>
        <v>64</v>
      </c>
      <c r="D169" s="255" t="s">
        <v>53</v>
      </c>
    </row>
    <row r="170" spans="1:4" s="234" customFormat="1" ht="13.2">
      <c r="A170" s="254"/>
      <c r="B170" s="253"/>
      <c r="C170" s="255"/>
      <c r="D170" s="255"/>
    </row>
    <row r="171" spans="1:4" s="234" customFormat="1" ht="92.4">
      <c r="A171" s="254">
        <f>A166+1</f>
        <v>35</v>
      </c>
      <c r="B171" s="253" t="s">
        <v>419</v>
      </c>
      <c r="C171" s="252"/>
      <c r="D171" s="252"/>
    </row>
    <row r="172" spans="1:4" s="234" customFormat="1" ht="13.2">
      <c r="A172" s="254"/>
      <c r="B172" s="256" t="s">
        <v>56</v>
      </c>
      <c r="C172" s="255">
        <f>'Det-Kit'!G1178</f>
        <v>7</v>
      </c>
      <c r="D172" s="255" t="s">
        <v>17</v>
      </c>
    </row>
    <row r="173" spans="1:4" s="234" customFormat="1" ht="13.2">
      <c r="A173" s="254"/>
      <c r="B173" s="256" t="s">
        <v>445</v>
      </c>
      <c r="C173" s="255">
        <f>'Det-Kit'!G1186</f>
        <v>35</v>
      </c>
      <c r="D173" s="255" t="s">
        <v>17</v>
      </c>
    </row>
    <row r="174" spans="1:4" s="234" customFormat="1" ht="13.2">
      <c r="A174" s="254"/>
      <c r="B174" s="256" t="s">
        <v>57</v>
      </c>
      <c r="C174" s="255">
        <f>'Det-Kit'!G1194</f>
        <v>29</v>
      </c>
      <c r="D174" s="255" t="s">
        <v>17</v>
      </c>
    </row>
    <row r="175" spans="1:4" s="234" customFormat="1" ht="13.2">
      <c r="A175" s="254"/>
      <c r="B175" s="253"/>
      <c r="C175" s="255"/>
      <c r="D175" s="255"/>
    </row>
    <row r="176" spans="1:4" s="234" customFormat="1" ht="132">
      <c r="A176" s="254">
        <f>A171+1</f>
        <v>36</v>
      </c>
      <c r="B176" s="253" t="s">
        <v>867</v>
      </c>
      <c r="C176" s="252"/>
      <c r="D176" s="252"/>
    </row>
    <row r="177" spans="1:4" s="234" customFormat="1" ht="13.2">
      <c r="A177" s="254"/>
      <c r="B177" s="256" t="s">
        <v>56</v>
      </c>
      <c r="C177" s="255">
        <f>'Det-Kit'!G1199</f>
        <v>27</v>
      </c>
      <c r="D177" s="255" t="s">
        <v>53</v>
      </c>
    </row>
    <row r="178" spans="1:4" s="234" customFormat="1" ht="13.2">
      <c r="A178" s="254"/>
      <c r="B178" s="256" t="s">
        <v>445</v>
      </c>
      <c r="C178" s="255">
        <f>'Det-Kit'!G1203</f>
        <v>97</v>
      </c>
      <c r="D178" s="255" t="s">
        <v>53</v>
      </c>
    </row>
    <row r="179" spans="1:4" s="234" customFormat="1" ht="13.2">
      <c r="A179" s="254"/>
      <c r="B179" s="256" t="s">
        <v>57</v>
      </c>
      <c r="C179" s="255">
        <f>'Det-Kit'!G1207</f>
        <v>65</v>
      </c>
      <c r="D179" s="255" t="s">
        <v>53</v>
      </c>
    </row>
    <row r="180" spans="1:4" s="234" customFormat="1" ht="13.2">
      <c r="A180" s="254"/>
      <c r="B180" s="260"/>
      <c r="C180" s="255"/>
      <c r="D180" s="255"/>
    </row>
    <row r="181" spans="1:4" s="234" customFormat="1" ht="171.6">
      <c r="A181" s="254">
        <f>A176+1</f>
        <v>37</v>
      </c>
      <c r="B181" s="253" t="s">
        <v>868</v>
      </c>
      <c r="C181" s="255"/>
      <c r="D181" s="255"/>
    </row>
    <row r="182" spans="1:4" s="234" customFormat="1" ht="13.2">
      <c r="A182" s="254"/>
      <c r="B182" s="256" t="s">
        <v>56</v>
      </c>
      <c r="C182" s="255">
        <f>'Det-Kit'!G1212</f>
        <v>9</v>
      </c>
      <c r="D182" s="255" t="s">
        <v>17</v>
      </c>
    </row>
    <row r="183" spans="1:4" s="234" customFormat="1" ht="13.2">
      <c r="A183" s="254"/>
      <c r="B183" s="256" t="s">
        <v>445</v>
      </c>
      <c r="C183" s="255">
        <f>'Det-Kit'!G1216</f>
        <v>30</v>
      </c>
      <c r="D183" s="255" t="s">
        <v>17</v>
      </c>
    </row>
    <row r="184" spans="1:4" s="234" customFormat="1" ht="13.2">
      <c r="A184" s="254"/>
      <c r="B184" s="256" t="s">
        <v>57</v>
      </c>
      <c r="C184" s="255">
        <f>'Det-Kit'!G1220</f>
        <v>20</v>
      </c>
      <c r="D184" s="255" t="s">
        <v>17</v>
      </c>
    </row>
    <row r="185" spans="1:4" s="234" customFormat="1" ht="13.2">
      <c r="A185" s="254"/>
      <c r="B185" s="253"/>
      <c r="C185" s="252"/>
      <c r="D185" s="252"/>
    </row>
    <row r="186" spans="1:4" s="234" customFormat="1" ht="198">
      <c r="A186" s="254">
        <f>A181+1</f>
        <v>38</v>
      </c>
      <c r="B186" s="253" t="s">
        <v>869</v>
      </c>
      <c r="C186" s="252"/>
      <c r="D186" s="252"/>
    </row>
    <row r="187" spans="1:4" s="234" customFormat="1" ht="13.2">
      <c r="A187" s="254"/>
      <c r="B187" s="256" t="s">
        <v>56</v>
      </c>
      <c r="C187" s="255">
        <f>'Det-Kit'!G1236</f>
        <v>418</v>
      </c>
      <c r="D187" s="252" t="s">
        <v>61</v>
      </c>
    </row>
    <row r="188" spans="1:4" s="234" customFormat="1" ht="13.2">
      <c r="A188" s="254"/>
      <c r="B188" s="256" t="s">
        <v>445</v>
      </c>
      <c r="C188" s="255">
        <f>'Det-Kit'!G1251</f>
        <v>422</v>
      </c>
      <c r="D188" s="252" t="s">
        <v>61</v>
      </c>
    </row>
    <row r="189" spans="1:4" s="234" customFormat="1" ht="13.2">
      <c r="A189" s="254"/>
      <c r="B189" s="256" t="s">
        <v>57</v>
      </c>
      <c r="C189" s="255">
        <f>'Det-Kit'!G1264</f>
        <v>774</v>
      </c>
      <c r="D189" s="252" t="s">
        <v>61</v>
      </c>
    </row>
    <row r="190" spans="1:4" s="234" customFormat="1" ht="13.2">
      <c r="A190" s="254"/>
      <c r="B190" s="258" t="s">
        <v>717</v>
      </c>
      <c r="C190" s="252"/>
      <c r="D190" s="252"/>
    </row>
    <row r="191" spans="1:4" s="234" customFormat="1" ht="39.6">
      <c r="A191" s="254"/>
      <c r="B191" s="253" t="s">
        <v>718</v>
      </c>
      <c r="C191" s="252"/>
      <c r="D191" s="252"/>
    </row>
    <row r="192" spans="1:4" s="234" customFormat="1" ht="13.2">
      <c r="A192" s="254"/>
      <c r="B192" s="253"/>
      <c r="C192" s="252"/>
      <c r="D192" s="252"/>
    </row>
    <row r="193" spans="1:4" s="234" customFormat="1" ht="66">
      <c r="A193" s="254">
        <f>A186+1</f>
        <v>39</v>
      </c>
      <c r="B193" s="253" t="s">
        <v>870</v>
      </c>
      <c r="C193" s="252"/>
      <c r="D193" s="252"/>
    </row>
    <row r="194" spans="1:4" s="234" customFormat="1" ht="13.2">
      <c r="A194" s="254"/>
      <c r="B194" s="256" t="s">
        <v>56</v>
      </c>
      <c r="C194" s="255">
        <f>'Det-Kit'!G1269</f>
        <v>6</v>
      </c>
      <c r="D194" s="252" t="s">
        <v>47</v>
      </c>
    </row>
    <row r="195" spans="1:4" s="234" customFormat="1" ht="13.2">
      <c r="A195" s="254"/>
      <c r="B195" s="256" t="s">
        <v>57</v>
      </c>
      <c r="C195" s="255">
        <f>'Det-Kit'!G1273</f>
        <v>8</v>
      </c>
      <c r="D195" s="252" t="s">
        <v>47</v>
      </c>
    </row>
    <row r="196" spans="1:4" s="234" customFormat="1" ht="13.2">
      <c r="A196" s="254"/>
      <c r="B196" s="256"/>
      <c r="C196" s="255"/>
      <c r="D196" s="252"/>
    </row>
    <row r="197" spans="1:4" s="234" customFormat="1" ht="52.8">
      <c r="A197" s="254">
        <f>A193+1</f>
        <v>40</v>
      </c>
      <c r="B197" s="253" t="s">
        <v>871</v>
      </c>
      <c r="C197" s="255"/>
      <c r="D197" s="252"/>
    </row>
    <row r="198" spans="1:4" s="234" customFormat="1" ht="13.2">
      <c r="A198" s="254"/>
      <c r="B198" s="256" t="s">
        <v>56</v>
      </c>
      <c r="C198" s="255">
        <f>'Det-Kit'!G1279</f>
        <v>1</v>
      </c>
      <c r="D198" s="252" t="s">
        <v>214</v>
      </c>
    </row>
    <row r="199" spans="1:4" s="234" customFormat="1" ht="13.2">
      <c r="A199" s="254"/>
      <c r="B199" s="256" t="s">
        <v>57</v>
      </c>
      <c r="C199" s="255">
        <f>'Det-Kit'!G1282</f>
        <v>1</v>
      </c>
      <c r="D199" s="252" t="s">
        <v>214</v>
      </c>
    </row>
    <row r="200" spans="1:4" s="234" customFormat="1" ht="13.2">
      <c r="A200" s="254"/>
      <c r="B200" s="253"/>
      <c r="C200" s="252"/>
      <c r="D200" s="252"/>
    </row>
    <row r="201" spans="1:4" s="234" customFormat="1" ht="66">
      <c r="A201" s="254">
        <f>A197+1</f>
        <v>41</v>
      </c>
      <c r="B201" s="253" t="s">
        <v>872</v>
      </c>
      <c r="C201" s="252"/>
      <c r="D201" s="252"/>
    </row>
    <row r="202" spans="1:4" s="234" customFormat="1" ht="13.2">
      <c r="A202" s="254"/>
      <c r="B202" s="256" t="s">
        <v>56</v>
      </c>
      <c r="C202" s="255">
        <f>'Det-Kit'!G1297</f>
        <v>50</v>
      </c>
      <c r="D202" s="252" t="s">
        <v>47</v>
      </c>
    </row>
    <row r="203" spans="1:4" s="234" customFormat="1" ht="13.2">
      <c r="A203" s="254"/>
      <c r="B203" s="256" t="s">
        <v>445</v>
      </c>
      <c r="C203" s="255">
        <f>'Det-Kit'!G1311</f>
        <v>57</v>
      </c>
      <c r="D203" s="252" t="s">
        <v>47</v>
      </c>
    </row>
    <row r="204" spans="1:4" s="234" customFormat="1" ht="13.2">
      <c r="A204" s="254"/>
      <c r="B204" s="256" t="s">
        <v>57</v>
      </c>
      <c r="C204" s="255">
        <f>'Det-Kit'!G1322</f>
        <v>97</v>
      </c>
      <c r="D204" s="252" t="s">
        <v>47</v>
      </c>
    </row>
    <row r="205" spans="1:4" s="234" customFormat="1" ht="13.2">
      <c r="A205" s="254"/>
      <c r="B205" s="253"/>
      <c r="C205" s="252"/>
      <c r="D205" s="252"/>
    </row>
    <row r="206" spans="1:4" s="234" customFormat="1" ht="52.8">
      <c r="A206" s="254">
        <f>A201+1</f>
        <v>42</v>
      </c>
      <c r="B206" s="253" t="s">
        <v>873</v>
      </c>
      <c r="C206" s="252"/>
      <c r="D206" s="252"/>
    </row>
    <row r="207" spans="1:4" s="234" customFormat="1" ht="13.2">
      <c r="A207" s="254"/>
      <c r="B207" s="256" t="s">
        <v>56</v>
      </c>
      <c r="C207" s="255">
        <f>'Det-Kit'!G1328</f>
        <v>25</v>
      </c>
      <c r="D207" s="252" t="s">
        <v>47</v>
      </c>
    </row>
    <row r="208" spans="1:4" s="234" customFormat="1" ht="13.2">
      <c r="A208" s="254"/>
      <c r="B208" s="256" t="s">
        <v>445</v>
      </c>
      <c r="C208" s="255">
        <f>'Det-Kit'!G1333</f>
        <v>29</v>
      </c>
      <c r="D208" s="252" t="s">
        <v>47</v>
      </c>
    </row>
    <row r="209" spans="1:7" s="234" customFormat="1" ht="13.2">
      <c r="A209" s="254"/>
      <c r="B209" s="256" t="s">
        <v>57</v>
      </c>
      <c r="C209" s="255">
        <f>'Det-Kit'!G1338</f>
        <v>49</v>
      </c>
      <c r="D209" s="252" t="s">
        <v>47</v>
      </c>
    </row>
    <row r="210" spans="1:7" s="234" customFormat="1" ht="13.2">
      <c r="A210" s="254"/>
      <c r="B210" s="253"/>
      <c r="C210" s="252"/>
      <c r="D210" s="252"/>
    </row>
    <row r="211" spans="1:7" s="234" customFormat="1" ht="79.2">
      <c r="A211" s="254">
        <f>A206+1</f>
        <v>43</v>
      </c>
      <c r="B211" s="253" t="s">
        <v>874</v>
      </c>
      <c r="C211" s="252"/>
      <c r="D211" s="252"/>
    </row>
    <row r="212" spans="1:7" s="234" customFormat="1" ht="13.2">
      <c r="A212" s="254"/>
      <c r="B212" s="256" t="s">
        <v>56</v>
      </c>
      <c r="C212" s="255">
        <f>'Det-Kit'!G1355</f>
        <v>1493</v>
      </c>
      <c r="D212" s="255" t="s">
        <v>24</v>
      </c>
      <c r="E212" s="241"/>
      <c r="F212" s="242"/>
      <c r="G212" s="243"/>
    </row>
    <row r="213" spans="1:7" s="234" customFormat="1" ht="13.2">
      <c r="A213" s="254"/>
      <c r="B213" s="256" t="s">
        <v>445</v>
      </c>
      <c r="C213" s="255">
        <f>'Det-Kit'!G1370</f>
        <v>1181</v>
      </c>
      <c r="D213" s="255" t="s">
        <v>24</v>
      </c>
      <c r="E213" s="241"/>
      <c r="F213" s="242"/>
      <c r="G213" s="243"/>
    </row>
    <row r="214" spans="1:7" s="234" customFormat="1" ht="13.2">
      <c r="A214" s="254"/>
      <c r="B214" s="256" t="s">
        <v>57</v>
      </c>
      <c r="C214" s="255">
        <f>'Det-Kit'!G1379</f>
        <v>503</v>
      </c>
      <c r="D214" s="255" t="s">
        <v>24</v>
      </c>
      <c r="E214" s="241"/>
      <c r="F214" s="242"/>
      <c r="G214" s="243"/>
    </row>
    <row r="215" spans="1:7" s="234" customFormat="1" ht="13.2">
      <c r="A215" s="254"/>
      <c r="B215" s="253"/>
      <c r="C215" s="252"/>
      <c r="D215" s="252"/>
      <c r="E215" s="241"/>
      <c r="F215" s="242"/>
      <c r="G215" s="243"/>
    </row>
    <row r="216" spans="1:7" s="234" customFormat="1" ht="118.8">
      <c r="A216" s="254">
        <f>A211+1</f>
        <v>44</v>
      </c>
      <c r="B216" s="253" t="s">
        <v>875</v>
      </c>
      <c r="C216" s="252"/>
      <c r="D216" s="252"/>
      <c r="E216" s="241"/>
      <c r="F216" s="242"/>
      <c r="G216" s="243"/>
    </row>
    <row r="217" spans="1:7" s="234" customFormat="1" ht="13.2">
      <c r="A217" s="254"/>
      <c r="B217" s="256" t="s">
        <v>56</v>
      </c>
      <c r="C217" s="255">
        <f>'Det-Kit'!G1384</f>
        <v>9</v>
      </c>
      <c r="D217" s="255" t="s">
        <v>17</v>
      </c>
      <c r="E217" s="241"/>
      <c r="F217" s="242"/>
      <c r="G217" s="243"/>
    </row>
    <row r="218" spans="1:7" s="234" customFormat="1" ht="13.2">
      <c r="A218" s="254"/>
      <c r="B218" s="253"/>
      <c r="C218" s="252"/>
      <c r="D218" s="252"/>
      <c r="E218" s="241"/>
      <c r="F218" s="242"/>
      <c r="G218" s="243"/>
    </row>
    <row r="219" spans="1:7" s="234" customFormat="1" ht="52.8">
      <c r="A219" s="254">
        <f>A216+1</f>
        <v>45</v>
      </c>
      <c r="B219" s="253" t="s">
        <v>876</v>
      </c>
      <c r="C219" s="252"/>
      <c r="D219" s="252"/>
      <c r="E219" s="241"/>
      <c r="F219" s="242"/>
      <c r="G219" s="243"/>
    </row>
    <row r="220" spans="1:7" s="234" customFormat="1" ht="13.2">
      <c r="A220" s="254"/>
      <c r="B220" s="256" t="s">
        <v>56</v>
      </c>
      <c r="C220" s="255">
        <f>'Det-Kit'!G1397</f>
        <v>836</v>
      </c>
      <c r="D220" s="255" t="s">
        <v>24</v>
      </c>
      <c r="E220" s="241"/>
      <c r="F220" s="242"/>
      <c r="G220" s="243"/>
    </row>
    <row r="221" spans="1:7" s="234" customFormat="1" ht="13.2">
      <c r="A221" s="254"/>
      <c r="B221" s="256" t="s">
        <v>445</v>
      </c>
      <c r="C221" s="255">
        <f>'Det-Kit'!G1405</f>
        <v>221</v>
      </c>
      <c r="D221" s="255" t="s">
        <v>24</v>
      </c>
      <c r="E221" s="241"/>
      <c r="F221" s="242"/>
      <c r="G221" s="243"/>
    </row>
    <row r="222" spans="1:7" s="234" customFormat="1" ht="13.2">
      <c r="A222" s="254"/>
      <c r="B222" s="256" t="s">
        <v>57</v>
      </c>
      <c r="C222" s="255">
        <f>'Det-Kit'!G1413</f>
        <v>221</v>
      </c>
      <c r="D222" s="255" t="s">
        <v>24</v>
      </c>
      <c r="E222" s="241"/>
      <c r="F222" s="242"/>
      <c r="G222" s="243"/>
    </row>
    <row r="223" spans="1:7" s="234" customFormat="1" ht="13.2">
      <c r="A223" s="254"/>
      <c r="B223" s="253"/>
      <c r="C223" s="252"/>
      <c r="D223" s="252"/>
      <c r="E223" s="241"/>
      <c r="F223" s="242"/>
      <c r="G223" s="243"/>
    </row>
    <row r="224" spans="1:7" s="234" customFormat="1" ht="13.2">
      <c r="A224" s="254"/>
      <c r="B224" s="253"/>
      <c r="C224" s="252"/>
      <c r="D224" s="252"/>
      <c r="E224" s="241"/>
      <c r="F224" s="242"/>
      <c r="G224" s="243"/>
    </row>
    <row r="225" spans="1:7" s="234" customFormat="1" ht="132">
      <c r="A225" s="254">
        <f>A219+1</f>
        <v>46</v>
      </c>
      <c r="B225" s="261" t="s">
        <v>877</v>
      </c>
      <c r="C225" s="262"/>
      <c r="D225" s="262"/>
      <c r="E225" s="241"/>
      <c r="F225" s="242"/>
      <c r="G225" s="243"/>
    </row>
    <row r="226" spans="1:7" s="234" customFormat="1" ht="13.2">
      <c r="A226" s="254"/>
      <c r="B226" s="256" t="s">
        <v>56</v>
      </c>
      <c r="C226" s="262">
        <f>'Det-Kit'!G1426</f>
        <v>117</v>
      </c>
      <c r="D226" s="262" t="s">
        <v>17</v>
      </c>
      <c r="E226" s="241"/>
      <c r="F226" s="242"/>
      <c r="G226" s="243"/>
    </row>
    <row r="227" spans="1:7" s="234" customFormat="1" ht="13.2">
      <c r="A227" s="254"/>
      <c r="B227" s="256" t="s">
        <v>445</v>
      </c>
      <c r="C227" s="262">
        <f>'Det-Kit'!G1434</f>
        <v>72</v>
      </c>
      <c r="D227" s="262" t="s">
        <v>17</v>
      </c>
      <c r="E227" s="241"/>
      <c r="F227" s="242"/>
      <c r="G227" s="243"/>
    </row>
    <row r="228" spans="1:7" s="234" customFormat="1" ht="13.2">
      <c r="A228" s="254"/>
      <c r="B228" s="253"/>
      <c r="C228" s="262"/>
      <c r="D228" s="262"/>
      <c r="E228" s="241"/>
      <c r="F228" s="242"/>
      <c r="G228" s="243"/>
    </row>
    <row r="229" spans="1:7" s="234" customFormat="1" ht="237.6">
      <c r="A229" s="254">
        <f>A225+1</f>
        <v>47</v>
      </c>
      <c r="B229" s="253" t="s">
        <v>878</v>
      </c>
      <c r="C229" s="262"/>
      <c r="D229" s="262"/>
      <c r="E229" s="241"/>
      <c r="F229" s="242"/>
      <c r="G229" s="243"/>
    </row>
    <row r="230" spans="1:7" s="234" customFormat="1" ht="13.2">
      <c r="A230" s="254"/>
      <c r="B230" s="256" t="s">
        <v>56</v>
      </c>
      <c r="C230" s="262">
        <f>'Det-Kit'!G1442</f>
        <v>138</v>
      </c>
      <c r="D230" s="262" t="s">
        <v>17</v>
      </c>
      <c r="E230" s="241"/>
      <c r="F230" s="242"/>
      <c r="G230" s="243"/>
    </row>
    <row r="231" spans="1:7" s="234" customFormat="1" ht="13.2">
      <c r="A231" s="254"/>
      <c r="B231" s="256" t="s">
        <v>445</v>
      </c>
      <c r="C231" s="262">
        <f>'Det-Kit'!G1449</f>
        <v>60</v>
      </c>
      <c r="D231" s="262" t="s">
        <v>17</v>
      </c>
      <c r="E231" s="241"/>
      <c r="F231" s="242"/>
      <c r="G231" s="243"/>
    </row>
    <row r="232" spans="1:7" s="234" customFormat="1" ht="13.2">
      <c r="A232" s="254"/>
      <c r="B232" s="253"/>
      <c r="C232" s="252"/>
      <c r="D232" s="252"/>
      <c r="E232" s="241"/>
      <c r="F232" s="242"/>
      <c r="G232" s="243"/>
    </row>
    <row r="233" spans="1:7" s="234" customFormat="1" ht="66">
      <c r="A233" s="254">
        <f>A229+1</f>
        <v>48</v>
      </c>
      <c r="B233" s="253" t="s">
        <v>879</v>
      </c>
      <c r="C233" s="252"/>
      <c r="D233" s="252"/>
      <c r="E233" s="241"/>
      <c r="F233" s="242"/>
      <c r="G233" s="243"/>
    </row>
    <row r="234" spans="1:7" s="234" customFormat="1" ht="13.2">
      <c r="A234" s="254"/>
      <c r="B234" s="256" t="s">
        <v>56</v>
      </c>
      <c r="C234" s="255">
        <f>'Det-Kit'!G1512</f>
        <v>1330</v>
      </c>
      <c r="D234" s="255" t="s">
        <v>17</v>
      </c>
      <c r="E234" s="241"/>
      <c r="F234" s="242"/>
      <c r="G234" s="243"/>
    </row>
    <row r="235" spans="1:7" s="234" customFormat="1" ht="13.2">
      <c r="A235" s="254"/>
      <c r="B235" s="256" t="s">
        <v>445</v>
      </c>
      <c r="C235" s="255">
        <f>'Det-Kit'!G1570</f>
        <v>1086</v>
      </c>
      <c r="D235" s="255" t="s">
        <v>17</v>
      </c>
      <c r="E235" s="241"/>
      <c r="F235" s="242"/>
      <c r="G235" s="243"/>
    </row>
    <row r="236" spans="1:7" s="234" customFormat="1" ht="13.2">
      <c r="A236" s="254"/>
      <c r="B236" s="256" t="s">
        <v>57</v>
      </c>
      <c r="C236" s="255">
        <f>'Det-Kit'!G1604</f>
        <v>495</v>
      </c>
      <c r="D236" s="255" t="s">
        <v>17</v>
      </c>
      <c r="E236" s="241"/>
      <c r="F236" s="242"/>
      <c r="G236" s="243"/>
    </row>
    <row r="237" spans="1:7" s="234" customFormat="1" ht="13.2">
      <c r="A237" s="254"/>
      <c r="B237" s="253"/>
      <c r="C237" s="255"/>
      <c r="D237" s="255"/>
      <c r="E237" s="241"/>
      <c r="F237" s="242"/>
      <c r="G237" s="243"/>
    </row>
    <row r="238" spans="1:7" s="234" customFormat="1" ht="79.2">
      <c r="A238" s="254">
        <f>A233+1</f>
        <v>49</v>
      </c>
      <c r="B238" s="257" t="s">
        <v>880</v>
      </c>
      <c r="C238" s="252"/>
      <c r="D238" s="252"/>
      <c r="E238" s="241"/>
      <c r="F238" s="245"/>
      <c r="G238" s="243"/>
    </row>
    <row r="239" spans="1:7" s="234" customFormat="1" ht="13.2">
      <c r="A239" s="254"/>
      <c r="B239" s="256" t="s">
        <v>56</v>
      </c>
      <c r="C239" s="255">
        <f>'Det-Kit'!G1667</f>
        <v>1945</v>
      </c>
      <c r="D239" s="255" t="s">
        <v>17</v>
      </c>
      <c r="E239" s="241"/>
      <c r="F239" s="242"/>
      <c r="G239" s="243"/>
    </row>
    <row r="240" spans="1:7" s="234" customFormat="1" ht="13.2">
      <c r="A240" s="254"/>
      <c r="B240" s="256" t="s">
        <v>445</v>
      </c>
      <c r="C240" s="255">
        <f>'Det-Kit'!G1725</f>
        <v>1137</v>
      </c>
      <c r="D240" s="255" t="s">
        <v>17</v>
      </c>
      <c r="E240" s="241"/>
      <c r="F240" s="242"/>
      <c r="G240" s="243"/>
    </row>
    <row r="241" spans="1:7" s="234" customFormat="1" ht="13.2">
      <c r="A241" s="254"/>
      <c r="B241" s="256" t="s">
        <v>57</v>
      </c>
      <c r="C241" s="255">
        <f>'Det-Kit'!G1761</f>
        <v>756</v>
      </c>
      <c r="D241" s="255" t="s">
        <v>17</v>
      </c>
      <c r="E241" s="241"/>
      <c r="F241" s="242"/>
      <c r="G241" s="243"/>
    </row>
    <row r="242" spans="1:7" s="234" customFormat="1" ht="13.2">
      <c r="A242" s="254"/>
      <c r="B242" s="257"/>
      <c r="C242" s="252"/>
      <c r="D242" s="252"/>
      <c r="E242" s="241"/>
      <c r="F242" s="242"/>
      <c r="G242" s="243"/>
    </row>
    <row r="243" spans="1:7" s="234" customFormat="1" ht="52.8">
      <c r="A243" s="254">
        <f>A238+1</f>
        <v>50</v>
      </c>
      <c r="B243" s="253" t="s">
        <v>881</v>
      </c>
      <c r="C243" s="252"/>
      <c r="D243" s="252"/>
      <c r="E243" s="241"/>
      <c r="F243" s="242"/>
      <c r="G243" s="243"/>
    </row>
    <row r="244" spans="1:7" s="234" customFormat="1" ht="13.2">
      <c r="A244" s="254"/>
      <c r="B244" s="256" t="s">
        <v>56</v>
      </c>
      <c r="C244" s="255">
        <f>'Det-Kit'!G1785</f>
        <v>427</v>
      </c>
      <c r="D244" s="255" t="s">
        <v>17</v>
      </c>
      <c r="E244" s="241"/>
      <c r="F244" s="242"/>
      <c r="G244" s="243"/>
    </row>
    <row r="245" spans="1:7" s="234" customFormat="1" ht="13.2">
      <c r="A245" s="254"/>
      <c r="B245" s="256" t="s">
        <v>445</v>
      </c>
      <c r="C245" s="255">
        <f>'Det-Kit'!G1805</f>
        <v>228</v>
      </c>
      <c r="D245" s="255" t="s">
        <v>17</v>
      </c>
      <c r="E245" s="241"/>
      <c r="F245" s="242"/>
      <c r="G245" s="243"/>
    </row>
    <row r="246" spans="1:7" s="234" customFormat="1" ht="13.2">
      <c r="A246" s="254"/>
      <c r="B246" s="256" t="s">
        <v>57</v>
      </c>
      <c r="C246" s="255">
        <f>'Det-Kit'!G1819</f>
        <v>148</v>
      </c>
      <c r="D246" s="255" t="s">
        <v>17</v>
      </c>
      <c r="E246" s="241"/>
      <c r="F246" s="242"/>
      <c r="G246" s="243"/>
    </row>
    <row r="247" spans="1:7" s="234" customFormat="1" ht="13.2">
      <c r="A247" s="254"/>
      <c r="B247" s="257"/>
      <c r="C247" s="252"/>
      <c r="D247" s="252"/>
      <c r="E247" s="241"/>
      <c r="F247" s="242"/>
      <c r="G247" s="243"/>
    </row>
    <row r="248" spans="1:7" s="234" customFormat="1" ht="79.2">
      <c r="A248" s="254">
        <f>A243+1</f>
        <v>51</v>
      </c>
      <c r="B248" s="253" t="s">
        <v>882</v>
      </c>
      <c r="C248" s="252"/>
      <c r="D248" s="252"/>
      <c r="E248" s="235"/>
      <c r="F248" s="242"/>
      <c r="G248" s="243"/>
    </row>
    <row r="249" spans="1:7" s="234" customFormat="1" ht="13.2">
      <c r="A249" s="254"/>
      <c r="B249" s="256" t="s">
        <v>56</v>
      </c>
      <c r="C249" s="255">
        <f>'Det-Kit'!G1827</f>
        <v>805</v>
      </c>
      <c r="D249" s="255" t="s">
        <v>17</v>
      </c>
      <c r="E249" s="246"/>
      <c r="F249" s="242"/>
      <c r="G249" s="243"/>
    </row>
    <row r="250" spans="1:7" s="234" customFormat="1" ht="13.2">
      <c r="A250" s="254"/>
      <c r="B250" s="256" t="s">
        <v>445</v>
      </c>
      <c r="C250" s="255">
        <f>'Det-Kit'!G1833</f>
        <v>494</v>
      </c>
      <c r="D250" s="255" t="s">
        <v>17</v>
      </c>
      <c r="E250" s="246"/>
      <c r="F250" s="242"/>
      <c r="G250" s="243"/>
    </row>
    <row r="251" spans="1:7" s="234" customFormat="1" ht="13.2">
      <c r="A251" s="254"/>
      <c r="B251" s="256" t="s">
        <v>57</v>
      </c>
      <c r="C251" s="255">
        <f>'Det-Kit'!G1842</f>
        <v>557</v>
      </c>
      <c r="D251" s="255" t="s">
        <v>17</v>
      </c>
      <c r="E251" s="246"/>
      <c r="F251" s="242"/>
      <c r="G251" s="243"/>
    </row>
    <row r="252" spans="1:7" s="234" customFormat="1" ht="13.2">
      <c r="A252" s="254"/>
      <c r="B252" s="263"/>
      <c r="C252" s="252"/>
      <c r="D252" s="252"/>
      <c r="E252" s="246"/>
      <c r="F252" s="242"/>
      <c r="G252" s="243"/>
    </row>
    <row r="253" spans="1:7" s="234" customFormat="1" ht="13.2">
      <c r="A253" s="254"/>
      <c r="B253" s="263"/>
      <c r="C253" s="252"/>
      <c r="D253" s="252"/>
      <c r="E253" s="246"/>
      <c r="F253" s="242"/>
      <c r="G253" s="243"/>
    </row>
    <row r="254" spans="1:7" s="234" customFormat="1" ht="79.2">
      <c r="A254" s="254">
        <f>A248+1</f>
        <v>52</v>
      </c>
      <c r="B254" s="253" t="s">
        <v>883</v>
      </c>
      <c r="C254" s="262"/>
      <c r="D254" s="262"/>
      <c r="E254" s="246"/>
      <c r="F254" s="242"/>
      <c r="G254" s="243"/>
    </row>
    <row r="255" spans="1:7" s="234" customFormat="1" ht="13.2">
      <c r="A255" s="254"/>
      <c r="B255" s="256" t="s">
        <v>56</v>
      </c>
      <c r="C255" s="262">
        <f>'Det-Kit'!G1853</f>
        <v>202</v>
      </c>
      <c r="D255" s="262" t="s">
        <v>47</v>
      </c>
      <c r="E255" s="246"/>
      <c r="F255" s="242"/>
      <c r="G255" s="243"/>
    </row>
    <row r="256" spans="1:7" s="234" customFormat="1" ht="13.2">
      <c r="A256" s="254"/>
      <c r="B256" s="256" t="s">
        <v>445</v>
      </c>
      <c r="C256" s="262">
        <f>'Det-Kit'!G1864</f>
        <v>68</v>
      </c>
      <c r="D256" s="262" t="s">
        <v>47</v>
      </c>
      <c r="E256" s="246"/>
      <c r="F256" s="242"/>
      <c r="G256" s="243"/>
    </row>
    <row r="257" spans="1:7" s="234" customFormat="1" ht="13.2">
      <c r="A257" s="254"/>
      <c r="B257" s="256" t="s">
        <v>57</v>
      </c>
      <c r="C257" s="262">
        <f>'Det-Kit'!G1873</f>
        <v>73</v>
      </c>
      <c r="D257" s="262" t="s">
        <v>47</v>
      </c>
      <c r="E257" s="246"/>
      <c r="F257" s="242"/>
      <c r="G257" s="243"/>
    </row>
    <row r="258" spans="1:7" s="234" customFormat="1" ht="13.2">
      <c r="A258" s="254"/>
      <c r="B258" s="256" t="s">
        <v>57</v>
      </c>
      <c r="C258" s="262">
        <f>'Det-Kit'!G1882</f>
        <v>87</v>
      </c>
      <c r="D258" s="262" t="s">
        <v>47</v>
      </c>
      <c r="E258" s="246"/>
      <c r="F258" s="242"/>
      <c r="G258" s="243"/>
    </row>
    <row r="259" spans="1:7" s="234" customFormat="1" ht="13.2">
      <c r="A259" s="254"/>
      <c r="B259" s="263"/>
      <c r="C259" s="252"/>
      <c r="D259" s="252"/>
      <c r="E259" s="246"/>
      <c r="F259" s="242"/>
      <c r="G259" s="243"/>
    </row>
    <row r="260" spans="1:7" s="234" customFormat="1" ht="26.4">
      <c r="A260" s="254">
        <f>A254+1</f>
        <v>53</v>
      </c>
      <c r="B260" s="253" t="s">
        <v>563</v>
      </c>
      <c r="C260" s="262"/>
      <c r="D260" s="262"/>
    </row>
    <row r="261" spans="1:7" s="234" customFormat="1" ht="13.2">
      <c r="A261" s="254"/>
      <c r="B261" s="256" t="s">
        <v>56</v>
      </c>
      <c r="C261" s="262">
        <f>'Det-Kit'!G1915</f>
        <v>938</v>
      </c>
      <c r="D261" s="262" t="s">
        <v>49</v>
      </c>
    </row>
    <row r="262" spans="1:7" s="234" customFormat="1" ht="13.2">
      <c r="A262" s="254"/>
      <c r="B262" s="256" t="s">
        <v>445</v>
      </c>
      <c r="C262" s="262">
        <f>'Det-Kit'!G1943</f>
        <v>853</v>
      </c>
      <c r="D262" s="262" t="s">
        <v>49</v>
      </c>
    </row>
    <row r="263" spans="1:7" s="234" customFormat="1" ht="13.2">
      <c r="A263" s="254"/>
      <c r="B263" s="256" t="s">
        <v>57</v>
      </c>
      <c r="C263" s="262">
        <f>'Det-Kit'!G1961</f>
        <v>363</v>
      </c>
      <c r="D263" s="262" t="s">
        <v>49</v>
      </c>
    </row>
    <row r="264" spans="1:7" s="234" customFormat="1" ht="13.2">
      <c r="A264" s="254"/>
      <c r="B264" s="256" t="s">
        <v>463</v>
      </c>
      <c r="C264" s="262">
        <f>'Det-Kit'!G1969</f>
        <v>70</v>
      </c>
      <c r="D264" s="262" t="s">
        <v>49</v>
      </c>
    </row>
    <row r="265" spans="1:7" s="234" customFormat="1" ht="13.2">
      <c r="A265" s="254"/>
      <c r="B265" s="263"/>
      <c r="C265" s="262"/>
      <c r="D265" s="262"/>
    </row>
    <row r="266" spans="1:7" s="234" customFormat="1" ht="52.8">
      <c r="A266" s="254">
        <f>A260+1</f>
        <v>54</v>
      </c>
      <c r="B266" s="253" t="s">
        <v>884</v>
      </c>
      <c r="C266" s="262"/>
      <c r="D266" s="262"/>
    </row>
    <row r="267" spans="1:7" s="234" customFormat="1" ht="13.2">
      <c r="A267" s="254"/>
      <c r="B267" s="256" t="s">
        <v>56</v>
      </c>
      <c r="C267" s="262">
        <f>'Det-Kit'!G1973</f>
        <v>1000</v>
      </c>
      <c r="D267" s="262" t="s">
        <v>49</v>
      </c>
    </row>
    <row r="268" spans="1:7" s="234" customFormat="1" ht="13.2">
      <c r="A268" s="254"/>
      <c r="B268" s="256" t="s">
        <v>445</v>
      </c>
      <c r="C268" s="262">
        <f>'Det-Kit'!G1975</f>
        <v>1000</v>
      </c>
      <c r="D268" s="262" t="s">
        <v>49</v>
      </c>
    </row>
    <row r="269" spans="1:7" s="234" customFormat="1" ht="13.2">
      <c r="A269" s="254"/>
      <c r="B269" s="256" t="s">
        <v>57</v>
      </c>
      <c r="C269" s="262">
        <f>'Det-Kit'!G1977</f>
        <v>1000</v>
      </c>
      <c r="D269" s="262" t="s">
        <v>49</v>
      </c>
      <c r="E269" s="246"/>
      <c r="F269" s="242"/>
      <c r="G269" s="243"/>
    </row>
    <row r="270" spans="1:7" s="234" customFormat="1" ht="13.2">
      <c r="A270" s="254"/>
      <c r="B270" s="263"/>
      <c r="C270" s="252"/>
      <c r="D270" s="252"/>
      <c r="E270" s="246"/>
      <c r="F270" s="242"/>
      <c r="G270" s="243"/>
    </row>
    <row r="271" spans="1:7" s="234" customFormat="1" ht="105.6">
      <c r="A271" s="254">
        <f>A266+1</f>
        <v>55</v>
      </c>
      <c r="B271" s="257" t="s">
        <v>885</v>
      </c>
      <c r="C271" s="252"/>
      <c r="D271" s="252"/>
      <c r="E271" s="246"/>
      <c r="F271" s="245"/>
      <c r="G271" s="243"/>
    </row>
    <row r="272" spans="1:7" s="234" customFormat="1" ht="13.2">
      <c r="A272" s="254"/>
      <c r="B272" s="256" t="s">
        <v>56</v>
      </c>
      <c r="C272" s="255">
        <f>'Det-Kit'!G1993</f>
        <v>540</v>
      </c>
      <c r="D272" s="255" t="s">
        <v>47</v>
      </c>
      <c r="E272" s="246"/>
      <c r="F272" s="242"/>
      <c r="G272" s="243"/>
    </row>
    <row r="273" spans="1:7" s="234" customFormat="1" ht="13.2">
      <c r="A273" s="254"/>
      <c r="B273" s="263"/>
      <c r="C273" s="252"/>
      <c r="D273" s="252"/>
      <c r="E273" s="246"/>
      <c r="F273" s="242"/>
      <c r="G273" s="243"/>
    </row>
    <row r="274" spans="1:7" s="234" customFormat="1" ht="39.6">
      <c r="A274" s="254">
        <f>A271+1</f>
        <v>56</v>
      </c>
      <c r="B274" s="253" t="s">
        <v>886</v>
      </c>
      <c r="C274" s="252"/>
      <c r="D274" s="252"/>
      <c r="E274" s="246"/>
      <c r="F274" s="242"/>
      <c r="G274" s="243"/>
    </row>
    <row r="275" spans="1:7" s="234" customFormat="1" ht="13.2">
      <c r="A275" s="254"/>
      <c r="B275" s="256" t="s">
        <v>56</v>
      </c>
      <c r="C275" s="255">
        <f>'Det-Kit'!G2008</f>
        <v>83</v>
      </c>
      <c r="D275" s="255" t="s">
        <v>47</v>
      </c>
      <c r="E275" s="246"/>
      <c r="F275" s="242"/>
      <c r="G275" s="243"/>
    </row>
    <row r="276" spans="1:7" s="234" customFormat="1" ht="13.2">
      <c r="A276" s="254"/>
      <c r="B276" s="256" t="s">
        <v>445</v>
      </c>
      <c r="C276" s="255">
        <f>'Det-Kit'!G2016</f>
        <v>24</v>
      </c>
      <c r="D276" s="255" t="s">
        <v>47</v>
      </c>
      <c r="E276" s="246"/>
      <c r="F276" s="242"/>
      <c r="G276" s="243"/>
    </row>
    <row r="277" spans="1:7" s="234" customFormat="1" ht="13.2">
      <c r="A277" s="254"/>
      <c r="B277" s="256" t="s">
        <v>57</v>
      </c>
      <c r="C277" s="255">
        <f>'Det-Kit'!G2024</f>
        <v>24</v>
      </c>
      <c r="D277" s="255" t="s">
        <v>47</v>
      </c>
      <c r="E277" s="246"/>
      <c r="F277" s="242"/>
      <c r="G277" s="243"/>
    </row>
    <row r="278" spans="1:7" s="234" customFormat="1" ht="13.2">
      <c r="A278" s="254"/>
      <c r="B278" s="263"/>
      <c r="C278" s="252"/>
      <c r="D278" s="252"/>
      <c r="E278" s="246"/>
      <c r="F278" s="242"/>
      <c r="G278" s="243"/>
    </row>
    <row r="279" spans="1:7" s="234" customFormat="1" ht="13.2">
      <c r="A279" s="254"/>
      <c r="B279" s="263"/>
      <c r="C279" s="252"/>
      <c r="D279" s="252"/>
      <c r="E279" s="246"/>
      <c r="F279" s="242"/>
      <c r="G279" s="243"/>
    </row>
    <row r="280" spans="1:7" s="234" customFormat="1" ht="13.2">
      <c r="A280" s="254">
        <f>A274+1</f>
        <v>57</v>
      </c>
      <c r="B280" s="253" t="s">
        <v>887</v>
      </c>
      <c r="C280" s="262"/>
      <c r="D280" s="262"/>
    </row>
    <row r="281" spans="1:7" s="234" customFormat="1" ht="13.2">
      <c r="A281" s="254"/>
      <c r="B281" s="256" t="s">
        <v>56</v>
      </c>
      <c r="C281" s="262">
        <f>'Det-Kit'!G2039</f>
        <v>156</v>
      </c>
      <c r="D281" s="262" t="s">
        <v>49</v>
      </c>
    </row>
    <row r="282" spans="1:7" s="234" customFormat="1" ht="13.2">
      <c r="A282" s="254"/>
      <c r="B282" s="256" t="s">
        <v>445</v>
      </c>
      <c r="C282" s="262">
        <f>'Det-Kit'!G2047</f>
        <v>37</v>
      </c>
      <c r="D282" s="262" t="s">
        <v>49</v>
      </c>
    </row>
    <row r="283" spans="1:7" s="234" customFormat="1" ht="13.2">
      <c r="A283" s="252"/>
      <c r="B283" s="256" t="s">
        <v>57</v>
      </c>
      <c r="C283" s="262">
        <f>'Det-Kit'!G2055</f>
        <v>37</v>
      </c>
      <c r="D283" s="262" t="s">
        <v>49</v>
      </c>
    </row>
    <row r="284" spans="1:7" s="234" customFormat="1" ht="13.2">
      <c r="A284" s="252"/>
      <c r="B284" s="253"/>
      <c r="C284" s="252"/>
      <c r="D284" s="252"/>
    </row>
    <row r="285" spans="1:7" s="234" customFormat="1" ht="105.6">
      <c r="A285" s="254">
        <f>A280+1</f>
        <v>58</v>
      </c>
      <c r="B285" s="253" t="s">
        <v>888</v>
      </c>
      <c r="C285" s="262"/>
      <c r="D285" s="262"/>
    </row>
    <row r="286" spans="1:7" s="234" customFormat="1" ht="13.2">
      <c r="A286" s="254"/>
      <c r="B286" s="256" t="s">
        <v>56</v>
      </c>
      <c r="C286" s="262">
        <f>'Det-Kit'!G2064</f>
        <v>6</v>
      </c>
      <c r="D286" s="262" t="s">
        <v>47</v>
      </c>
    </row>
    <row r="287" spans="1:7" s="234" customFormat="1" ht="13.2">
      <c r="A287" s="254"/>
      <c r="B287" s="256" t="s">
        <v>445</v>
      </c>
      <c r="C287" s="262">
        <f>'Det-Kit'!G2073</f>
        <v>4</v>
      </c>
      <c r="D287" s="262" t="s">
        <v>47</v>
      </c>
    </row>
    <row r="288" spans="1:7" s="234" customFormat="1" ht="13.2">
      <c r="A288" s="252"/>
      <c r="B288" s="256" t="s">
        <v>57</v>
      </c>
      <c r="C288" s="262">
        <f>'Det-Kit'!G2077</f>
        <v>4</v>
      </c>
      <c r="D288" s="262" t="s">
        <v>47</v>
      </c>
    </row>
    <row r="289" spans="1:7" s="234" customFormat="1" ht="13.2">
      <c r="A289" s="254"/>
      <c r="B289" s="263"/>
      <c r="C289" s="252"/>
      <c r="D289" s="252"/>
      <c r="E289" s="246"/>
      <c r="F289" s="242"/>
      <c r="G289" s="243"/>
    </row>
    <row r="290" spans="1:7" s="234" customFormat="1" ht="52.8">
      <c r="A290" s="254">
        <f>A285+1</f>
        <v>59</v>
      </c>
      <c r="B290" s="257" t="s">
        <v>889</v>
      </c>
      <c r="C290" s="252"/>
      <c r="D290" s="252"/>
      <c r="E290" s="246"/>
      <c r="F290" s="242"/>
      <c r="G290" s="243"/>
    </row>
    <row r="291" spans="1:7" s="234" customFormat="1" ht="13.2">
      <c r="A291" s="254"/>
      <c r="B291" s="256" t="s">
        <v>56</v>
      </c>
      <c r="C291" s="255">
        <f>'Det-Kit'!G2093</f>
        <v>81</v>
      </c>
      <c r="D291" s="255" t="s">
        <v>17</v>
      </c>
      <c r="E291" s="246"/>
      <c r="F291" s="242"/>
      <c r="G291" s="243"/>
    </row>
    <row r="292" spans="1:7" s="234" customFormat="1" ht="13.2">
      <c r="A292" s="254"/>
      <c r="B292" s="256" t="s">
        <v>445</v>
      </c>
      <c r="C292" s="255">
        <f>'Det-Kit'!G2118</f>
        <v>428</v>
      </c>
      <c r="D292" s="255" t="s">
        <v>17</v>
      </c>
      <c r="E292" s="246"/>
      <c r="F292" s="242"/>
      <c r="G292" s="243"/>
    </row>
    <row r="293" spans="1:7" s="234" customFormat="1" ht="13.2">
      <c r="A293" s="254"/>
      <c r="B293" s="256" t="s">
        <v>57</v>
      </c>
      <c r="C293" s="255">
        <f>'Det-Kit'!G2133</f>
        <v>177</v>
      </c>
      <c r="D293" s="255" t="s">
        <v>17</v>
      </c>
      <c r="E293" s="246"/>
      <c r="F293" s="242"/>
      <c r="G293" s="243"/>
    </row>
    <row r="294" spans="1:7" s="234" customFormat="1" ht="13.2">
      <c r="A294" s="254"/>
      <c r="B294" s="263"/>
      <c r="C294" s="252"/>
      <c r="D294" s="252"/>
      <c r="E294" s="246"/>
      <c r="F294" s="242"/>
      <c r="G294" s="243"/>
    </row>
    <row r="295" spans="1:7" s="234" customFormat="1" ht="26.4">
      <c r="A295" s="254">
        <f>A290+1</f>
        <v>60</v>
      </c>
      <c r="B295" s="253" t="s">
        <v>890</v>
      </c>
      <c r="C295" s="252"/>
      <c r="D295" s="252"/>
      <c r="E295" s="246"/>
      <c r="F295" s="242"/>
      <c r="G295" s="243"/>
    </row>
    <row r="296" spans="1:7" s="234" customFormat="1" ht="13.2">
      <c r="A296" s="254"/>
      <c r="B296" s="256" t="s">
        <v>56</v>
      </c>
      <c r="C296" s="255">
        <f>'Det-Kit'!G2161</f>
        <v>37</v>
      </c>
      <c r="D296" s="255" t="s">
        <v>17</v>
      </c>
      <c r="E296" s="246"/>
      <c r="F296" s="242"/>
      <c r="G296" s="243"/>
    </row>
    <row r="297" spans="1:7" s="234" customFormat="1" ht="13.2">
      <c r="A297" s="254"/>
      <c r="B297" s="256" t="s">
        <v>445</v>
      </c>
      <c r="C297" s="255">
        <f>'Det-Kit'!G2184</f>
        <v>30</v>
      </c>
      <c r="D297" s="255" t="s">
        <v>17</v>
      </c>
      <c r="E297" s="246"/>
      <c r="F297" s="242"/>
      <c r="G297" s="243"/>
    </row>
    <row r="298" spans="1:7" s="234" customFormat="1" ht="13.2">
      <c r="A298" s="254"/>
      <c r="B298" s="256" t="s">
        <v>57</v>
      </c>
      <c r="C298" s="255">
        <f>'Det-Kit'!G2196</f>
        <v>15</v>
      </c>
      <c r="D298" s="255" t="s">
        <v>17</v>
      </c>
      <c r="E298" s="246"/>
      <c r="F298" s="242"/>
      <c r="G298" s="243"/>
    </row>
    <row r="299" spans="1:7" s="234" customFormat="1" ht="13.2">
      <c r="A299" s="254"/>
      <c r="B299" s="263"/>
      <c r="C299" s="252"/>
      <c r="D299" s="252"/>
      <c r="E299" s="246"/>
      <c r="F299" s="242"/>
      <c r="G299" s="243"/>
    </row>
    <row r="300" spans="1:7" s="234" customFormat="1" ht="52.8">
      <c r="A300" s="254">
        <f>A295+1</f>
        <v>61</v>
      </c>
      <c r="B300" s="253" t="s">
        <v>891</v>
      </c>
      <c r="C300" s="252"/>
      <c r="D300" s="252"/>
      <c r="E300" s="246"/>
      <c r="F300" s="242"/>
      <c r="G300" s="243"/>
    </row>
    <row r="301" spans="1:7" s="234" customFormat="1" ht="13.2">
      <c r="A301" s="254"/>
      <c r="B301" s="256" t="s">
        <v>56</v>
      </c>
      <c r="C301" s="255">
        <f>'Det-Kit'!G2209</f>
        <v>286</v>
      </c>
      <c r="D301" s="255" t="s">
        <v>17</v>
      </c>
      <c r="E301" s="246"/>
      <c r="F301" s="242"/>
      <c r="G301" s="243"/>
    </row>
    <row r="302" spans="1:7" s="234" customFormat="1" ht="13.2">
      <c r="A302" s="254"/>
      <c r="B302" s="256" t="s">
        <v>445</v>
      </c>
      <c r="C302" s="255">
        <f>'Det-Kit'!G2216</f>
        <v>67</v>
      </c>
      <c r="D302" s="255" t="s">
        <v>17</v>
      </c>
      <c r="E302" s="246"/>
      <c r="F302" s="242"/>
      <c r="G302" s="243"/>
    </row>
    <row r="303" spans="1:7" s="234" customFormat="1" ht="13.2">
      <c r="A303" s="254"/>
      <c r="B303" s="263"/>
      <c r="C303" s="252"/>
      <c r="D303" s="252"/>
      <c r="E303" s="246"/>
      <c r="F303" s="242"/>
      <c r="G303" s="243"/>
    </row>
    <row r="304" spans="1:7" s="234" customFormat="1" ht="92.4">
      <c r="A304" s="254">
        <f>A300+1</f>
        <v>62</v>
      </c>
      <c r="B304" s="257" t="s">
        <v>892</v>
      </c>
      <c r="C304" s="252"/>
      <c r="D304" s="252"/>
      <c r="E304" s="246"/>
      <c r="F304" s="242"/>
      <c r="G304" s="243"/>
    </row>
    <row r="305" spans="1:7" s="234" customFormat="1" ht="13.2">
      <c r="A305" s="254"/>
      <c r="B305" s="256" t="s">
        <v>56</v>
      </c>
      <c r="C305" s="255">
        <f>'Det-Kit'!G2241</f>
        <v>246</v>
      </c>
      <c r="D305" s="255" t="s">
        <v>17</v>
      </c>
      <c r="E305" s="246"/>
      <c r="F305" s="242"/>
      <c r="G305" s="243"/>
    </row>
    <row r="306" spans="1:7" s="234" customFormat="1" ht="13.2">
      <c r="A306" s="254"/>
      <c r="B306" s="263"/>
      <c r="C306" s="252"/>
      <c r="D306" s="252"/>
      <c r="E306" s="246"/>
      <c r="F306" s="242"/>
      <c r="G306" s="243"/>
    </row>
    <row r="307" spans="1:7" s="234" customFormat="1" ht="79.2">
      <c r="A307" s="254">
        <f>A304+1</f>
        <v>63</v>
      </c>
      <c r="B307" s="257" t="s">
        <v>893</v>
      </c>
      <c r="C307" s="252"/>
      <c r="D307" s="252"/>
      <c r="E307" s="235"/>
      <c r="F307" s="242"/>
      <c r="G307" s="243"/>
    </row>
    <row r="308" spans="1:7" s="234" customFormat="1" ht="13.2">
      <c r="A308" s="254"/>
      <c r="B308" s="256" t="s">
        <v>56</v>
      </c>
      <c r="C308" s="255">
        <f>'Det-Kit'!G2254</f>
        <v>43</v>
      </c>
      <c r="D308" s="255" t="s">
        <v>17</v>
      </c>
      <c r="E308" s="246"/>
      <c r="F308" s="242"/>
      <c r="G308" s="243"/>
    </row>
    <row r="309" spans="1:7" s="234" customFormat="1" ht="13.2">
      <c r="A309" s="254"/>
      <c r="B309" s="256" t="s">
        <v>445</v>
      </c>
      <c r="C309" s="255">
        <f>'Det-Kit'!G2270</f>
        <v>35</v>
      </c>
      <c r="D309" s="255" t="s">
        <v>17</v>
      </c>
      <c r="E309" s="246"/>
      <c r="F309" s="242"/>
      <c r="G309" s="243"/>
    </row>
    <row r="310" spans="1:7" s="234" customFormat="1" ht="13.2">
      <c r="A310" s="254"/>
      <c r="B310" s="256" t="s">
        <v>57</v>
      </c>
      <c r="C310" s="255">
        <f>'Det-Kit'!G2282</f>
        <v>57</v>
      </c>
      <c r="D310" s="255" t="s">
        <v>17</v>
      </c>
      <c r="E310" s="246"/>
      <c r="F310" s="242"/>
      <c r="G310" s="243"/>
    </row>
    <row r="311" spans="1:7" s="234" customFormat="1" ht="13.2">
      <c r="A311" s="254"/>
      <c r="B311" s="256" t="s">
        <v>463</v>
      </c>
      <c r="C311" s="255">
        <f>'Det-Kit'!G2289</f>
        <v>46</v>
      </c>
      <c r="D311" s="255" t="s">
        <v>17</v>
      </c>
      <c r="E311" s="246"/>
      <c r="F311" s="242"/>
      <c r="G311" s="243"/>
    </row>
    <row r="312" spans="1:7" s="234" customFormat="1" ht="13.2">
      <c r="A312" s="254"/>
      <c r="B312" s="263"/>
      <c r="C312" s="252"/>
      <c r="D312" s="252"/>
      <c r="E312" s="246"/>
      <c r="F312" s="242"/>
      <c r="G312" s="243"/>
    </row>
    <row r="313" spans="1:7" s="234" customFormat="1" ht="79.2">
      <c r="A313" s="254">
        <f>A307+1</f>
        <v>64</v>
      </c>
      <c r="B313" s="257" t="s">
        <v>894</v>
      </c>
      <c r="C313" s="252"/>
      <c r="D313" s="252"/>
      <c r="E313" s="235"/>
      <c r="F313" s="242"/>
      <c r="G313" s="243"/>
    </row>
    <row r="314" spans="1:7" s="234" customFormat="1" ht="13.2">
      <c r="A314" s="254"/>
      <c r="B314" s="256" t="s">
        <v>56</v>
      </c>
      <c r="C314" s="255">
        <f>'Det-Kit'!G2302</f>
        <v>141</v>
      </c>
      <c r="D314" s="255" t="s">
        <v>17</v>
      </c>
      <c r="E314" s="246"/>
      <c r="F314" s="242"/>
      <c r="G314" s="243"/>
    </row>
    <row r="315" spans="1:7" s="234" customFormat="1" ht="13.2">
      <c r="A315" s="254"/>
      <c r="B315" s="256" t="s">
        <v>445</v>
      </c>
      <c r="C315" s="255">
        <f>'Det-Kit'!G2318</f>
        <v>161</v>
      </c>
      <c r="D315" s="255" t="s">
        <v>17</v>
      </c>
      <c r="E315" s="246"/>
      <c r="F315" s="242"/>
      <c r="G315" s="243"/>
    </row>
    <row r="316" spans="1:7" s="234" customFormat="1" ht="13.2">
      <c r="A316" s="254"/>
      <c r="B316" s="256" t="s">
        <v>57</v>
      </c>
      <c r="C316" s="255">
        <f>'Det-Kit'!G2330</f>
        <v>148</v>
      </c>
      <c r="D316" s="255" t="s">
        <v>17</v>
      </c>
      <c r="E316" s="246"/>
      <c r="F316" s="242"/>
      <c r="G316" s="243"/>
    </row>
    <row r="317" spans="1:7" s="234" customFormat="1" ht="13.2">
      <c r="A317" s="254"/>
      <c r="B317" s="263"/>
      <c r="C317" s="252"/>
      <c r="D317" s="252"/>
      <c r="E317" s="246"/>
      <c r="F317" s="242"/>
      <c r="G317" s="243"/>
    </row>
    <row r="318" spans="1:7" s="234" customFormat="1" ht="13.2">
      <c r="A318" s="254"/>
      <c r="B318" s="263"/>
      <c r="C318" s="252"/>
      <c r="D318" s="252"/>
      <c r="E318" s="246"/>
      <c r="F318" s="242"/>
      <c r="G318" s="243"/>
    </row>
    <row r="319" spans="1:7" s="234" customFormat="1" ht="105.6">
      <c r="A319" s="254">
        <f>A313+1</f>
        <v>65</v>
      </c>
      <c r="B319" s="253" t="s">
        <v>895</v>
      </c>
      <c r="C319" s="262"/>
      <c r="D319" s="262"/>
      <c r="E319" s="246"/>
      <c r="F319" s="242"/>
      <c r="G319" s="243"/>
    </row>
    <row r="320" spans="1:7" s="234" customFormat="1" ht="13.2">
      <c r="A320" s="254"/>
      <c r="B320" s="253" t="s">
        <v>56</v>
      </c>
      <c r="C320" s="262">
        <f>'Det-Kit'!G2337</f>
        <v>17</v>
      </c>
      <c r="D320" s="262" t="s">
        <v>47</v>
      </c>
      <c r="E320" s="246"/>
      <c r="F320" s="242"/>
      <c r="G320" s="243"/>
    </row>
    <row r="321" spans="1:7" s="234" customFormat="1" ht="13.2">
      <c r="A321" s="254"/>
      <c r="B321" s="263"/>
      <c r="C321" s="252"/>
      <c r="D321" s="252"/>
      <c r="E321" s="246"/>
      <c r="F321" s="242"/>
      <c r="G321" s="243"/>
    </row>
    <row r="322" spans="1:7" s="234" customFormat="1" ht="39.6">
      <c r="A322" s="254">
        <f>A319+1</f>
        <v>66</v>
      </c>
      <c r="B322" s="253" t="s">
        <v>896</v>
      </c>
      <c r="C322" s="262"/>
      <c r="D322" s="262"/>
      <c r="E322" s="246"/>
      <c r="F322" s="242"/>
      <c r="G322" s="243"/>
    </row>
    <row r="323" spans="1:7" s="234" customFormat="1" ht="13.2">
      <c r="A323" s="254"/>
      <c r="B323" s="253" t="s">
        <v>56</v>
      </c>
      <c r="C323" s="262">
        <f>'Det-Kit'!G2352</f>
        <v>238</v>
      </c>
      <c r="D323" s="262" t="s">
        <v>49</v>
      </c>
      <c r="E323" s="246"/>
      <c r="F323" s="242"/>
      <c r="G323" s="243"/>
    </row>
    <row r="324" spans="1:7" s="234" customFormat="1" ht="13.2">
      <c r="A324" s="254"/>
      <c r="B324" s="263"/>
      <c r="C324" s="252"/>
      <c r="D324" s="252"/>
      <c r="E324" s="246"/>
      <c r="F324" s="242"/>
      <c r="G324" s="243"/>
    </row>
    <row r="325" spans="1:7" s="234" customFormat="1" ht="26.4">
      <c r="A325" s="254">
        <f>A322+1</f>
        <v>67</v>
      </c>
      <c r="B325" s="257" t="s">
        <v>897</v>
      </c>
      <c r="C325" s="252"/>
      <c r="D325" s="252"/>
    </row>
    <row r="326" spans="1:7" s="234" customFormat="1" ht="13.2">
      <c r="A326" s="254"/>
      <c r="B326" s="256" t="s">
        <v>56</v>
      </c>
      <c r="C326" s="255">
        <f>'Det-Kit'!G2356</f>
        <v>100</v>
      </c>
      <c r="D326" s="255" t="s">
        <v>53</v>
      </c>
    </row>
    <row r="327" spans="1:7" s="234" customFormat="1" ht="13.2">
      <c r="A327" s="254"/>
      <c r="B327" s="256" t="s">
        <v>445</v>
      </c>
      <c r="C327" s="255">
        <f>'Det-Kit'!G2359</f>
        <v>80</v>
      </c>
      <c r="D327" s="255" t="s">
        <v>53</v>
      </c>
    </row>
    <row r="328" spans="1:7" s="234" customFormat="1" ht="13.2">
      <c r="A328" s="254"/>
      <c r="B328" s="256" t="s">
        <v>57</v>
      </c>
      <c r="C328" s="255">
        <f>'Det-Kit'!G2362</f>
        <v>80</v>
      </c>
      <c r="D328" s="255" t="s">
        <v>53</v>
      </c>
    </row>
    <row r="329" spans="1:7" s="234" customFormat="1" ht="13.2">
      <c r="A329" s="254"/>
      <c r="B329" s="263"/>
      <c r="C329" s="252"/>
      <c r="D329" s="252"/>
    </row>
    <row r="330" spans="1:7" s="234" customFormat="1" ht="39.6">
      <c r="A330" s="254">
        <f>A325+1</f>
        <v>68</v>
      </c>
      <c r="B330" s="253" t="s">
        <v>898</v>
      </c>
      <c r="C330" s="252"/>
      <c r="D330" s="252"/>
    </row>
    <row r="331" spans="1:7" s="234" customFormat="1" ht="13.2">
      <c r="A331" s="254"/>
      <c r="B331" s="256" t="s">
        <v>56</v>
      </c>
      <c r="C331" s="255">
        <f>'Det-Kit'!G2370</f>
        <v>3275</v>
      </c>
      <c r="D331" s="255" t="s">
        <v>17</v>
      </c>
    </row>
    <row r="332" spans="1:7" s="234" customFormat="1" ht="13.2">
      <c r="A332" s="254"/>
      <c r="B332" s="256" t="s">
        <v>445</v>
      </c>
      <c r="C332" s="255">
        <f>'Det-Kit'!G2377</f>
        <v>2223</v>
      </c>
      <c r="D332" s="255" t="s">
        <v>17</v>
      </c>
    </row>
    <row r="333" spans="1:7" s="234" customFormat="1" ht="13.2">
      <c r="A333" s="254"/>
      <c r="B333" s="256" t="s">
        <v>57</v>
      </c>
      <c r="C333" s="255">
        <f>'Det-Kit'!G2384</f>
        <v>1251</v>
      </c>
      <c r="D333" s="255" t="s">
        <v>17</v>
      </c>
    </row>
    <row r="334" spans="1:7" s="234" customFormat="1" ht="13.2">
      <c r="A334" s="254"/>
      <c r="B334" s="263"/>
      <c r="C334" s="252"/>
      <c r="D334" s="252"/>
    </row>
    <row r="335" spans="1:7" s="234" customFormat="1" ht="13.2">
      <c r="A335" s="254"/>
      <c r="B335" s="263"/>
      <c r="C335" s="252"/>
      <c r="D335" s="252"/>
    </row>
    <row r="336" spans="1:7" s="234" customFormat="1" ht="52.8">
      <c r="A336" s="254">
        <f>A330+1</f>
        <v>69</v>
      </c>
      <c r="B336" s="253" t="s">
        <v>560</v>
      </c>
      <c r="C336" s="262"/>
      <c r="D336" s="262"/>
    </row>
    <row r="337" spans="1:4" s="234" customFormat="1" ht="13.2">
      <c r="A337" s="254"/>
      <c r="B337" s="256" t="s">
        <v>56</v>
      </c>
      <c r="C337" s="262">
        <f>'Det-Kit'!G2389</f>
        <v>3275</v>
      </c>
      <c r="D337" s="262" t="s">
        <v>17</v>
      </c>
    </row>
    <row r="338" spans="1:4" s="234" customFormat="1" ht="13.2">
      <c r="A338" s="254"/>
      <c r="B338" s="256" t="s">
        <v>445</v>
      </c>
      <c r="C338" s="262">
        <f>'Det-Kit'!G2392</f>
        <v>2223</v>
      </c>
      <c r="D338" s="262" t="s">
        <v>17</v>
      </c>
    </row>
    <row r="339" spans="1:4" s="234" customFormat="1" ht="13.2">
      <c r="A339" s="254"/>
      <c r="B339" s="256" t="s">
        <v>57</v>
      </c>
      <c r="C339" s="262">
        <f>'Det-Kit'!G2395</f>
        <v>1251</v>
      </c>
      <c r="D339" s="262" t="s">
        <v>17</v>
      </c>
    </row>
    <row r="340" spans="1:4" s="234" customFormat="1" ht="13.2">
      <c r="A340" s="254"/>
      <c r="B340" s="263"/>
      <c r="C340" s="252"/>
      <c r="D340" s="252"/>
    </row>
    <row r="341" spans="1:4" s="234" customFormat="1" ht="52.8">
      <c r="A341" s="254">
        <f>A336+1</f>
        <v>70</v>
      </c>
      <c r="B341" s="253" t="s">
        <v>899</v>
      </c>
      <c r="C341" s="252"/>
      <c r="D341" s="252"/>
    </row>
    <row r="342" spans="1:4" s="234" customFormat="1" ht="13.2">
      <c r="A342" s="254"/>
      <c r="B342" s="256" t="s">
        <v>56</v>
      </c>
      <c r="C342" s="255">
        <f>'Det-Kit'!G2403</f>
        <v>895</v>
      </c>
      <c r="D342" s="255" t="s">
        <v>17</v>
      </c>
    </row>
    <row r="343" spans="1:4" s="234" customFormat="1" ht="13.2">
      <c r="A343" s="254"/>
      <c r="B343" s="256" t="s">
        <v>445</v>
      </c>
      <c r="C343" s="255">
        <f>'Det-Kit'!G2410</f>
        <v>526</v>
      </c>
      <c r="D343" s="255" t="s">
        <v>17</v>
      </c>
    </row>
    <row r="344" spans="1:4" s="234" customFormat="1" ht="13.2">
      <c r="A344" s="254"/>
      <c r="B344" s="256" t="s">
        <v>57</v>
      </c>
      <c r="C344" s="255">
        <f>'Det-Kit'!G2417</f>
        <v>589</v>
      </c>
      <c r="D344" s="255" t="s">
        <v>17</v>
      </c>
    </row>
    <row r="345" spans="1:4" s="234" customFormat="1" ht="13.2">
      <c r="A345" s="254"/>
      <c r="B345" s="256"/>
      <c r="C345" s="255"/>
      <c r="D345" s="255"/>
    </row>
    <row r="346" spans="1:4" s="234" customFormat="1" ht="145.19999999999999">
      <c r="A346" s="254">
        <f>A341+1</f>
        <v>71</v>
      </c>
      <c r="B346" s="253" t="s">
        <v>900</v>
      </c>
      <c r="C346" s="252"/>
      <c r="D346" s="252"/>
    </row>
    <row r="347" spans="1:4" s="234" customFormat="1" ht="13.2">
      <c r="A347" s="254"/>
      <c r="B347" s="256" t="s">
        <v>56</v>
      </c>
      <c r="C347" s="255">
        <f>'Det-Kit'!G2421</f>
        <v>985</v>
      </c>
      <c r="D347" s="255" t="s">
        <v>17</v>
      </c>
    </row>
    <row r="348" spans="1:4" s="234" customFormat="1" ht="13.2">
      <c r="A348" s="254"/>
      <c r="B348" s="256"/>
      <c r="C348" s="255"/>
      <c r="D348" s="255"/>
    </row>
    <row r="349" spans="1:4" s="234" customFormat="1" ht="66">
      <c r="A349" s="254">
        <f>A346+1</f>
        <v>72</v>
      </c>
      <c r="B349" s="253" t="s">
        <v>901</v>
      </c>
      <c r="C349" s="252"/>
      <c r="D349" s="252"/>
    </row>
    <row r="350" spans="1:4" s="234" customFormat="1" ht="13.2">
      <c r="A350" s="254"/>
      <c r="B350" s="256" t="s">
        <v>56</v>
      </c>
      <c r="C350" s="255">
        <f>'Det-Kit'!G2430</f>
        <v>6218</v>
      </c>
      <c r="D350" s="255" t="s">
        <v>61</v>
      </c>
    </row>
    <row r="351" spans="1:4" s="234" customFormat="1" ht="13.2">
      <c r="A351" s="254"/>
      <c r="B351" s="256"/>
      <c r="C351" s="255"/>
      <c r="D351" s="255"/>
    </row>
    <row r="352" spans="1:4" s="234" customFormat="1" ht="52.8">
      <c r="A352" s="254">
        <f>A349+1</f>
        <v>73</v>
      </c>
      <c r="B352" s="253" t="s">
        <v>902</v>
      </c>
      <c r="C352" s="252"/>
      <c r="D352" s="252"/>
    </row>
    <row r="353" spans="1:4" s="234" customFormat="1" ht="13.2">
      <c r="A353" s="254"/>
      <c r="B353" s="256" t="s">
        <v>56</v>
      </c>
      <c r="C353" s="255">
        <f>'Det-Kit'!G2435</f>
        <v>143</v>
      </c>
      <c r="D353" s="255" t="s">
        <v>17</v>
      </c>
    </row>
    <row r="354" spans="1:4" s="234" customFormat="1" ht="13.2">
      <c r="A354" s="254"/>
      <c r="B354" s="256"/>
      <c r="C354" s="255"/>
      <c r="D354" s="255"/>
    </row>
    <row r="355" spans="1:4" s="234" customFormat="1" ht="13.2">
      <c r="A355" s="254">
        <f>A352+1</f>
        <v>74</v>
      </c>
      <c r="B355" s="253" t="s">
        <v>565</v>
      </c>
      <c r="C355" s="252"/>
      <c r="D355" s="252"/>
    </row>
    <row r="356" spans="1:4" s="234" customFormat="1" ht="13.2">
      <c r="A356" s="254"/>
      <c r="B356" s="256" t="s">
        <v>56</v>
      </c>
      <c r="C356" s="255">
        <f>'Det-Kit'!G2437</f>
        <v>26</v>
      </c>
      <c r="D356" s="255" t="s">
        <v>49</v>
      </c>
    </row>
    <row r="357" spans="1:4" s="234" customFormat="1" ht="13.2">
      <c r="A357" s="254"/>
      <c r="B357" s="256"/>
      <c r="C357" s="255"/>
      <c r="D357" s="255"/>
    </row>
    <row r="358" spans="1:4" s="234" customFormat="1" ht="79.2">
      <c r="A358" s="254">
        <f>A355+1</f>
        <v>75</v>
      </c>
      <c r="B358" s="253" t="s">
        <v>903</v>
      </c>
      <c r="C358" s="262"/>
      <c r="D358" s="262"/>
    </row>
    <row r="359" spans="1:4" s="234" customFormat="1" ht="13.2">
      <c r="A359" s="254"/>
      <c r="B359" s="256" t="s">
        <v>56</v>
      </c>
      <c r="C359" s="262">
        <f>'Det-Kit'!G2442</f>
        <v>200</v>
      </c>
      <c r="D359" s="262" t="s">
        <v>17</v>
      </c>
    </row>
    <row r="360" spans="1:4" s="234" customFormat="1" ht="13.2">
      <c r="A360" s="252"/>
      <c r="B360" s="256" t="s">
        <v>445</v>
      </c>
      <c r="C360" s="262">
        <f>'Det-Kit'!G2445</f>
        <v>200</v>
      </c>
      <c r="D360" s="262" t="s">
        <v>17</v>
      </c>
    </row>
    <row r="361" spans="1:4" s="234" customFormat="1" ht="13.2">
      <c r="A361" s="254"/>
      <c r="B361" s="256" t="s">
        <v>57</v>
      </c>
      <c r="C361" s="262">
        <f>'Det-Kit'!G2448</f>
        <v>200</v>
      </c>
      <c r="D361" s="262" t="s">
        <v>17</v>
      </c>
    </row>
    <row r="362" spans="1:4" s="234" customFormat="1" ht="13.2">
      <c r="A362" s="254"/>
      <c r="B362" s="256"/>
      <c r="C362" s="255"/>
      <c r="D362" s="255"/>
    </row>
    <row r="363" spans="1:4" s="247" customFormat="1" ht="66">
      <c r="A363" s="254">
        <f>A358+1</f>
        <v>76</v>
      </c>
      <c r="B363" s="253" t="s">
        <v>904</v>
      </c>
      <c r="C363" s="262"/>
      <c r="D363" s="262"/>
    </row>
    <row r="364" spans="1:4" s="247" customFormat="1" ht="13.2">
      <c r="A364" s="254"/>
      <c r="B364" s="253" t="s">
        <v>760</v>
      </c>
      <c r="C364" s="262">
        <f>'Det-Kit'!G2450</f>
        <v>30</v>
      </c>
      <c r="D364" s="262" t="s">
        <v>19</v>
      </c>
    </row>
    <row r="365" spans="1:4" s="234" customFormat="1" ht="13.2">
      <c r="A365" s="254"/>
      <c r="B365" s="256"/>
      <c r="C365" s="255"/>
      <c r="D365" s="255"/>
    </row>
    <row r="366" spans="1:4" s="234" customFormat="1" ht="158.4">
      <c r="A366" s="254">
        <f>A363+1</f>
        <v>77</v>
      </c>
      <c r="B366" s="253" t="s">
        <v>905</v>
      </c>
      <c r="C366" s="252"/>
      <c r="D366" s="252"/>
    </row>
    <row r="367" spans="1:4" s="234" customFormat="1" ht="105.6">
      <c r="A367" s="254"/>
      <c r="B367" s="253" t="s">
        <v>359</v>
      </c>
      <c r="C367" s="252"/>
      <c r="D367" s="252"/>
    </row>
    <row r="368" spans="1:4" s="234" customFormat="1" ht="13.2">
      <c r="A368" s="254"/>
      <c r="B368" s="256" t="s">
        <v>445</v>
      </c>
      <c r="C368" s="255">
        <f>'Det-Kit'!G2454</f>
        <v>323</v>
      </c>
      <c r="D368" s="255" t="s">
        <v>17</v>
      </c>
    </row>
    <row r="369" spans="1:4" s="234" customFormat="1" ht="13.2">
      <c r="A369" s="254"/>
      <c r="B369" s="256" t="s">
        <v>57</v>
      </c>
      <c r="C369" s="255">
        <f>'Det-Kit'!G2457</f>
        <v>554</v>
      </c>
      <c r="D369" s="255" t="s">
        <v>17</v>
      </c>
    </row>
    <row r="370" spans="1:4" s="234" customFormat="1" ht="13.2">
      <c r="A370" s="254"/>
      <c r="B370" s="256"/>
      <c r="C370" s="255"/>
      <c r="D370" s="255"/>
    </row>
    <row r="371" spans="1:4" s="234" customFormat="1" ht="13.2">
      <c r="A371" s="254"/>
      <c r="B371" s="256"/>
      <c r="C371" s="255"/>
      <c r="D371" s="255"/>
    </row>
    <row r="372" spans="1:4" s="234" customFormat="1" ht="66">
      <c r="A372" s="254">
        <f>A366+1</f>
        <v>78</v>
      </c>
      <c r="B372" s="253" t="s">
        <v>906</v>
      </c>
      <c r="C372" s="262"/>
      <c r="D372" s="262"/>
    </row>
    <row r="373" spans="1:4" s="234" customFormat="1" ht="13.2">
      <c r="A373" s="254"/>
      <c r="B373" s="256" t="s">
        <v>445</v>
      </c>
      <c r="C373" s="262">
        <f>'Det-Kit'!G2468</f>
        <v>50</v>
      </c>
      <c r="D373" s="262" t="s">
        <v>12</v>
      </c>
    </row>
    <row r="374" spans="1:4" s="234" customFormat="1" ht="13.2">
      <c r="A374" s="254"/>
      <c r="B374" s="256" t="s">
        <v>57</v>
      </c>
      <c r="C374" s="262">
        <f>'Det-Kit'!G2476</f>
        <v>60</v>
      </c>
      <c r="D374" s="262" t="s">
        <v>12</v>
      </c>
    </row>
    <row r="375" spans="1:4" s="234" customFormat="1" ht="13.2">
      <c r="A375" s="254"/>
      <c r="B375" s="253"/>
      <c r="C375" s="262"/>
      <c r="D375" s="262"/>
    </row>
    <row r="376" spans="1:4" s="234" customFormat="1" ht="66">
      <c r="A376" s="254">
        <f>A372+1</f>
        <v>79</v>
      </c>
      <c r="B376" s="253" t="s">
        <v>907</v>
      </c>
      <c r="C376" s="262">
        <f>'Det-Kit'!G2479</f>
        <v>1000</v>
      </c>
      <c r="D376" s="262" t="s">
        <v>401</v>
      </c>
    </row>
    <row r="377" spans="1:4" s="234" customFormat="1" ht="13.2">
      <c r="A377" s="254"/>
      <c r="B377" s="256"/>
      <c r="C377" s="255"/>
      <c r="D377" s="255"/>
    </row>
    <row r="378" spans="1:4" s="234" customFormat="1" ht="382.8">
      <c r="A378" s="254">
        <f>A376+1</f>
        <v>80</v>
      </c>
      <c r="B378" s="253" t="s">
        <v>726</v>
      </c>
      <c r="C378" s="252"/>
      <c r="D378" s="252"/>
    </row>
    <row r="379" spans="1:4" s="234" customFormat="1" ht="13.2">
      <c r="A379" s="254"/>
      <c r="B379" s="253"/>
      <c r="C379" s="252"/>
      <c r="D379" s="252"/>
    </row>
    <row r="380" spans="1:4" s="234" customFormat="1" ht="13.2">
      <c r="A380" s="254"/>
      <c r="B380" s="253"/>
      <c r="C380" s="252"/>
      <c r="D380" s="252"/>
    </row>
    <row r="381" spans="1:4" s="234" customFormat="1" ht="13.2">
      <c r="A381" s="254"/>
      <c r="B381" s="253"/>
      <c r="C381" s="252"/>
      <c r="D381" s="252"/>
    </row>
    <row r="382" spans="1:4" s="234" customFormat="1" ht="13.2">
      <c r="A382" s="254"/>
      <c r="B382" s="253"/>
      <c r="C382" s="252"/>
      <c r="D382" s="252"/>
    </row>
    <row r="383" spans="1:4" s="234" customFormat="1" ht="13.2">
      <c r="A383" s="254"/>
      <c r="B383" s="253"/>
      <c r="C383" s="252"/>
      <c r="D383" s="252"/>
    </row>
    <row r="384" spans="1:4" s="234" customFormat="1" ht="13.2">
      <c r="A384" s="254"/>
      <c r="B384" s="253" t="s">
        <v>57</v>
      </c>
      <c r="C384" s="262">
        <f>'Det-Kit'!G2499</f>
        <v>372</v>
      </c>
      <c r="D384" s="262" t="s">
        <v>17</v>
      </c>
    </row>
    <row r="385" spans="1:4" s="234" customFormat="1" ht="13.2">
      <c r="A385" s="254"/>
      <c r="B385" s="253"/>
      <c r="C385" s="262"/>
      <c r="D385" s="262"/>
    </row>
    <row r="386" spans="1:4" s="234" customFormat="1" ht="26.4">
      <c r="A386" s="254">
        <f>A378+1</f>
        <v>81</v>
      </c>
      <c r="B386" s="253" t="s">
        <v>721</v>
      </c>
      <c r="C386" s="252"/>
      <c r="D386" s="252"/>
    </row>
    <row r="387" spans="1:4" s="234" customFormat="1" ht="13.2">
      <c r="A387" s="254"/>
      <c r="B387" s="256" t="s">
        <v>463</v>
      </c>
      <c r="C387" s="262">
        <f>'Det-Kit'!G2504</f>
        <v>47</v>
      </c>
      <c r="D387" s="262" t="s">
        <v>49</v>
      </c>
    </row>
    <row r="388" spans="1:4" s="234" customFormat="1" ht="13.2">
      <c r="A388" s="237"/>
      <c r="B388" s="236"/>
      <c r="C388" s="244"/>
      <c r="D388" s="244"/>
    </row>
    <row r="389" spans="1:4" hidden="1">
      <c r="A389" s="229"/>
      <c r="B389" s="223"/>
      <c r="C389" s="213"/>
      <c r="D389" s="213"/>
    </row>
    <row r="390" spans="1:4" s="9" customFormat="1" hidden="1">
      <c r="A390" s="214"/>
      <c r="B390" s="221" t="s">
        <v>23</v>
      </c>
      <c r="C390" s="214"/>
      <c r="D390" s="214"/>
    </row>
    <row r="391" spans="1:4" s="9" customFormat="1" hidden="1">
      <c r="A391" s="208"/>
      <c r="B391" s="222"/>
      <c r="C391" s="208"/>
      <c r="D391" s="208"/>
    </row>
    <row r="392" spans="1:4" hidden="1">
      <c r="A392" s="208">
        <v>1</v>
      </c>
      <c r="B392" s="224" t="s">
        <v>588</v>
      </c>
    </row>
    <row r="393" spans="1:4" hidden="1"/>
    <row r="394" spans="1:4" hidden="1">
      <c r="A394" s="214"/>
      <c r="B394" s="221" t="s">
        <v>23</v>
      </c>
      <c r="C394" s="214"/>
      <c r="D394" s="215"/>
    </row>
    <row r="395" spans="1:4" hidden="1">
      <c r="B395" s="222"/>
    </row>
    <row r="396" spans="1:4" hidden="1">
      <c r="A396" s="208">
        <f>A392+1</f>
        <v>2</v>
      </c>
      <c r="B396" s="220" t="s">
        <v>404</v>
      </c>
    </row>
    <row r="397" spans="1:4" hidden="1"/>
    <row r="398" spans="1:4" hidden="1">
      <c r="A398" s="216"/>
      <c r="B398" s="225" t="s">
        <v>405</v>
      </c>
      <c r="C398" s="216"/>
      <c r="D398" s="216"/>
    </row>
    <row r="399" spans="1:4" hidden="1">
      <c r="A399" s="216"/>
      <c r="B399" s="226"/>
      <c r="C399" s="216"/>
      <c r="D399" s="216"/>
    </row>
    <row r="400" spans="1:4" hidden="1">
      <c r="A400" s="214"/>
      <c r="B400" s="221" t="s">
        <v>406</v>
      </c>
      <c r="C400" s="214"/>
      <c r="D400" s="214"/>
    </row>
    <row r="401" spans="1:4" ht="14.4" hidden="1" thickBot="1">
      <c r="A401" s="217"/>
      <c r="B401" s="227" t="s">
        <v>407</v>
      </c>
      <c r="C401" s="217"/>
      <c r="D401" s="217"/>
    </row>
    <row r="402" spans="1:4" hidden="1"/>
  </sheetData>
  <mergeCells count="4">
    <mergeCell ref="A20:A21"/>
    <mergeCell ref="B20:B21"/>
    <mergeCell ref="C20:C21"/>
    <mergeCell ref="D20:D21"/>
  </mergeCells>
  <phoneticPr fontId="4" type="noConversion"/>
  <printOptions gridLines="1"/>
  <pageMargins left="0.75" right="0.75" top="0.5" bottom="0.5" header="0.5" footer="0.25"/>
  <pageSetup paperSize="9" orientation="portrait" r:id="rId1"/>
  <headerFooter alignWithMargins="0">
    <oddFooter>&amp;L           Utility Block, Kandi        &amp;R&amp;P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6:K69"/>
  <sheetViews>
    <sheetView workbookViewId="0">
      <selection activeCell="F17" sqref="F17"/>
    </sheetView>
  </sheetViews>
  <sheetFormatPr defaultColWidth="9.109375" defaultRowHeight="13.8"/>
  <cols>
    <col min="1" max="1" width="7.6640625" style="208" customWidth="1"/>
    <col min="2" max="2" width="56.33203125" style="266" customWidth="1"/>
    <col min="3" max="3" width="8.109375" style="208" customWidth="1"/>
    <col min="4" max="4" width="5" style="208" customWidth="1"/>
    <col min="5" max="16384" width="9.109375" style="11"/>
  </cols>
  <sheetData>
    <row r="6" spans="2:4">
      <c r="B6" s="300"/>
    </row>
    <row r="7" spans="2:4" s="9" customFormat="1">
      <c r="B7" s="265" t="s">
        <v>593</v>
      </c>
      <c r="C7" s="208"/>
      <c r="D7" s="208"/>
    </row>
    <row r="8" spans="2:4" s="9" customFormat="1">
      <c r="B8" s="265" t="s">
        <v>586</v>
      </c>
      <c r="C8" s="208"/>
      <c r="D8" s="208"/>
    </row>
    <row r="9" spans="2:4" s="9" customFormat="1">
      <c r="B9" s="264"/>
      <c r="C9" s="208"/>
      <c r="D9" s="208"/>
    </row>
    <row r="10" spans="2:4" s="9" customFormat="1" ht="18">
      <c r="B10" s="291" t="s">
        <v>128</v>
      </c>
      <c r="C10" s="208"/>
      <c r="D10" s="210"/>
    </row>
    <row r="11" spans="2:4" s="9" customFormat="1" ht="18">
      <c r="B11" s="291" t="s">
        <v>133</v>
      </c>
      <c r="C11" s="208"/>
      <c r="D11" s="210"/>
    </row>
    <row r="12" spans="2:4" s="23" customFormat="1" ht="18">
      <c r="B12" s="291" t="s">
        <v>75</v>
      </c>
      <c r="C12" s="208"/>
      <c r="D12" s="211"/>
    </row>
    <row r="13" spans="2:4" s="9" customFormat="1">
      <c r="B13" s="264"/>
      <c r="C13" s="208"/>
      <c r="D13" s="208"/>
    </row>
    <row r="14" spans="2:4" s="9" customFormat="1" ht="18">
      <c r="B14" s="308" t="s">
        <v>335</v>
      </c>
      <c r="C14" s="228"/>
      <c r="D14" s="209"/>
    </row>
    <row r="15" spans="2:4" s="9" customFormat="1">
      <c r="B15" s="293" t="s">
        <v>587</v>
      </c>
      <c r="C15" s="228"/>
      <c r="D15" s="209"/>
    </row>
    <row r="16" spans="2:4">
      <c r="B16" s="300"/>
    </row>
    <row r="17" spans="1:4">
      <c r="A17" s="320" t="s">
        <v>0</v>
      </c>
      <c r="B17" s="322" t="s">
        <v>20</v>
      </c>
      <c r="C17" s="320" t="s">
        <v>21</v>
      </c>
      <c r="D17" s="320" t="s">
        <v>22</v>
      </c>
    </row>
    <row r="18" spans="1:4">
      <c r="A18" s="320"/>
      <c r="B18" s="322"/>
      <c r="C18" s="320"/>
      <c r="D18" s="320"/>
    </row>
    <row r="19" spans="1:4">
      <c r="A19" s="250"/>
      <c r="B19" s="283"/>
      <c r="C19" s="250"/>
      <c r="D19" s="250"/>
    </row>
    <row r="20" spans="1:4" ht="118.8">
      <c r="A20" s="254">
        <v>1</v>
      </c>
      <c r="B20" s="287" t="s">
        <v>834</v>
      </c>
      <c r="C20" s="255">
        <f>'Det-Comp'!G9</f>
        <v>30</v>
      </c>
      <c r="D20" s="255" t="s">
        <v>9</v>
      </c>
    </row>
    <row r="21" spans="1:4">
      <c r="A21" s="254"/>
      <c r="B21" s="287"/>
      <c r="C21" s="255"/>
      <c r="D21" s="255"/>
    </row>
    <row r="22" spans="1:4" ht="79.2">
      <c r="A22" s="254">
        <f>A20+1</f>
        <v>2</v>
      </c>
      <c r="B22" s="287" t="s">
        <v>835</v>
      </c>
      <c r="C22" s="255">
        <f>'Det-Comp'!G15</f>
        <v>21</v>
      </c>
      <c r="D22" s="255" t="s">
        <v>9</v>
      </c>
    </row>
    <row r="23" spans="1:4">
      <c r="A23" s="252"/>
      <c r="B23" s="287"/>
      <c r="C23" s="255"/>
      <c r="D23" s="255"/>
    </row>
    <row r="24" spans="1:4" ht="66">
      <c r="A24" s="254">
        <v>3</v>
      </c>
      <c r="B24" s="287" t="s">
        <v>838</v>
      </c>
      <c r="C24" s="255">
        <f>'Det-Comp'!G21</f>
        <v>2</v>
      </c>
      <c r="D24" s="255" t="s">
        <v>9</v>
      </c>
    </row>
    <row r="25" spans="1:4">
      <c r="A25" s="254"/>
      <c r="B25" s="287"/>
      <c r="C25" s="255"/>
      <c r="D25" s="255"/>
    </row>
    <row r="26" spans="1:4" ht="66">
      <c r="A26" s="254">
        <v>4</v>
      </c>
      <c r="B26" s="287" t="s">
        <v>839</v>
      </c>
      <c r="C26" s="255">
        <f>'Det-Comp'!G27</f>
        <v>49</v>
      </c>
      <c r="D26" s="255" t="s">
        <v>9</v>
      </c>
    </row>
    <row r="27" spans="1:4">
      <c r="A27" s="252"/>
      <c r="B27" s="287"/>
      <c r="C27" s="255"/>
      <c r="D27" s="255"/>
    </row>
    <row r="28" spans="1:4" ht="171.6">
      <c r="A28" s="254"/>
      <c r="B28" s="289" t="s">
        <v>840</v>
      </c>
      <c r="C28" s="252"/>
      <c r="D28" s="252"/>
    </row>
    <row r="29" spans="1:4">
      <c r="A29" s="254">
        <v>5</v>
      </c>
      <c r="B29" s="283" t="s">
        <v>932</v>
      </c>
      <c r="C29" s="255">
        <f>'Det-Comp'!G33</f>
        <v>5</v>
      </c>
      <c r="D29" s="255" t="s">
        <v>9</v>
      </c>
    </row>
    <row r="30" spans="1:4">
      <c r="A30" s="254"/>
      <c r="B30" s="283"/>
      <c r="C30" s="255"/>
      <c r="D30" s="255"/>
    </row>
    <row r="31" spans="1:4">
      <c r="A31" s="254">
        <v>6</v>
      </c>
      <c r="B31" s="287" t="s">
        <v>909</v>
      </c>
      <c r="C31" s="255">
        <f>'Det-Comp'!G39</f>
        <v>6</v>
      </c>
      <c r="D31" s="255" t="s">
        <v>9</v>
      </c>
    </row>
    <row r="32" spans="1:4">
      <c r="A32" s="254"/>
      <c r="B32" s="290"/>
      <c r="C32" s="255"/>
      <c r="D32" s="255"/>
    </row>
    <row r="33" spans="1:4">
      <c r="A33" s="254">
        <v>7</v>
      </c>
      <c r="B33" s="287" t="s">
        <v>925</v>
      </c>
      <c r="C33" s="255">
        <f>'Det-Comp'!G45</f>
        <v>2</v>
      </c>
      <c r="D33" s="255" t="s">
        <v>9</v>
      </c>
    </row>
    <row r="34" spans="1:4">
      <c r="A34" s="254"/>
      <c r="B34" s="290"/>
      <c r="C34" s="255"/>
      <c r="D34" s="255"/>
    </row>
    <row r="35" spans="1:4">
      <c r="A35" s="254">
        <v>8</v>
      </c>
      <c r="B35" s="287" t="s">
        <v>912</v>
      </c>
      <c r="C35" s="255">
        <f>'Det-Comp'!G49</f>
        <v>4</v>
      </c>
      <c r="D35" s="255" t="s">
        <v>9</v>
      </c>
    </row>
    <row r="36" spans="1:4">
      <c r="A36" s="254"/>
      <c r="B36" s="290"/>
      <c r="C36" s="255"/>
      <c r="D36" s="255"/>
    </row>
    <row r="37" spans="1:4" ht="26.4">
      <c r="A37" s="254"/>
      <c r="B37" s="289" t="s">
        <v>851</v>
      </c>
      <c r="C37" s="255"/>
      <c r="D37" s="255"/>
    </row>
    <row r="38" spans="1:4">
      <c r="A38" s="254"/>
      <c r="B38" s="287"/>
      <c r="C38" s="255"/>
      <c r="D38" s="255"/>
    </row>
    <row r="39" spans="1:4">
      <c r="A39" s="254">
        <v>9</v>
      </c>
      <c r="B39" s="283" t="s">
        <v>331</v>
      </c>
      <c r="C39" s="255">
        <f>'Det-Comp'!G56</f>
        <v>15</v>
      </c>
      <c r="D39" s="255" t="s">
        <v>47</v>
      </c>
    </row>
    <row r="40" spans="1:4">
      <c r="A40" s="254"/>
      <c r="B40" s="287"/>
      <c r="C40" s="255"/>
      <c r="D40" s="255"/>
    </row>
    <row r="41" spans="1:4">
      <c r="A41" s="254">
        <v>10</v>
      </c>
      <c r="B41" s="283" t="s">
        <v>8</v>
      </c>
      <c r="C41" s="255">
        <f>'Det-Comp'!G62</f>
        <v>58</v>
      </c>
      <c r="D41" s="255" t="s">
        <v>47</v>
      </c>
    </row>
    <row r="42" spans="1:4">
      <c r="A42" s="254"/>
      <c r="B42" s="287"/>
      <c r="C42" s="255"/>
      <c r="D42" s="255"/>
    </row>
    <row r="43" spans="1:4">
      <c r="A43" s="254">
        <v>11</v>
      </c>
      <c r="B43" s="287" t="s">
        <v>854</v>
      </c>
      <c r="C43" s="255">
        <f>'Det-Comp'!G68</f>
        <v>18</v>
      </c>
      <c r="D43" s="255" t="s">
        <v>47</v>
      </c>
    </row>
    <row r="44" spans="1:4">
      <c r="A44" s="254"/>
      <c r="B44" s="287"/>
      <c r="C44" s="255"/>
      <c r="D44" s="255"/>
    </row>
    <row r="45" spans="1:4">
      <c r="A45" s="254">
        <v>12</v>
      </c>
      <c r="B45" s="287" t="s">
        <v>855</v>
      </c>
      <c r="C45" s="255">
        <f>'Det-Comp'!G72</f>
        <v>24</v>
      </c>
      <c r="D45" s="255" t="s">
        <v>47</v>
      </c>
    </row>
    <row r="46" spans="1:4">
      <c r="A46" s="254"/>
      <c r="B46" s="287"/>
      <c r="C46" s="255"/>
      <c r="D46" s="255"/>
    </row>
    <row r="47" spans="1:4" ht="79.2">
      <c r="A47" s="254">
        <v>13</v>
      </c>
      <c r="B47" s="287" t="s">
        <v>936</v>
      </c>
      <c r="C47" s="255">
        <f>'Det-Comp'!G83</f>
        <v>2150</v>
      </c>
      <c r="D47" s="255" t="s">
        <v>61</v>
      </c>
    </row>
    <row r="48" spans="1:4">
      <c r="A48" s="254"/>
      <c r="B48" s="287"/>
      <c r="C48" s="252"/>
      <c r="D48" s="252"/>
    </row>
    <row r="49" spans="1:4">
      <c r="A49" s="254"/>
      <c r="B49" s="287"/>
      <c r="C49" s="252"/>
      <c r="D49" s="252"/>
    </row>
    <row r="50" spans="1:4" ht="79.2">
      <c r="A50" s="254">
        <f>A47+1</f>
        <v>14</v>
      </c>
      <c r="B50" s="287" t="s">
        <v>882</v>
      </c>
      <c r="C50" s="255">
        <f>'Det-Comp'!G91</f>
        <v>49</v>
      </c>
      <c r="D50" s="255" t="s">
        <v>17</v>
      </c>
    </row>
    <row r="51" spans="1:4">
      <c r="A51" s="254"/>
      <c r="B51" s="287"/>
      <c r="C51" s="252"/>
      <c r="D51" s="252"/>
    </row>
    <row r="52" spans="1:4" ht="52.8">
      <c r="A52" s="254">
        <f>A50+1</f>
        <v>15</v>
      </c>
      <c r="B52" s="287" t="s">
        <v>899</v>
      </c>
      <c r="C52" s="255">
        <f>'Det-Comp'!G95</f>
        <v>49</v>
      </c>
      <c r="D52" s="255" t="s">
        <v>17</v>
      </c>
    </row>
    <row r="53" spans="1:4">
      <c r="A53" s="254"/>
      <c r="B53" s="287"/>
      <c r="C53" s="252"/>
      <c r="D53" s="252"/>
    </row>
    <row r="54" spans="1:4" ht="79.2">
      <c r="A54" s="254">
        <f>A52+1</f>
        <v>16</v>
      </c>
      <c r="B54" s="287" t="s">
        <v>933</v>
      </c>
      <c r="C54" s="255">
        <f>'Det-Comp'!G101</f>
        <v>2160</v>
      </c>
      <c r="D54" s="255" t="s">
        <v>24</v>
      </c>
    </row>
    <row r="55" spans="1:4">
      <c r="A55" s="254"/>
      <c r="B55" s="287"/>
      <c r="C55" s="255"/>
      <c r="D55" s="255"/>
    </row>
    <row r="56" spans="1:4" ht="145.19999999999999">
      <c r="A56" s="254">
        <f>A54+1</f>
        <v>17</v>
      </c>
      <c r="B56" s="287" t="s">
        <v>934</v>
      </c>
      <c r="C56" s="255">
        <f>'Det-Comp'!G105</f>
        <v>380</v>
      </c>
      <c r="D56" s="255" t="s">
        <v>49</v>
      </c>
    </row>
    <row r="57" spans="1:4">
      <c r="A57" s="229"/>
      <c r="C57" s="213"/>
      <c r="D57" s="213"/>
    </row>
    <row r="58" spans="1:4" s="9" customFormat="1" hidden="1">
      <c r="A58" s="214"/>
      <c r="B58" s="270" t="s">
        <v>23</v>
      </c>
      <c r="C58" s="214"/>
      <c r="D58" s="214"/>
    </row>
    <row r="59" spans="1:4" s="9" customFormat="1" hidden="1">
      <c r="A59" s="208"/>
      <c r="B59" s="267"/>
      <c r="C59" s="208"/>
      <c r="D59" s="208"/>
    </row>
    <row r="60" spans="1:4" hidden="1">
      <c r="A60" s="208">
        <v>1</v>
      </c>
      <c r="B60" s="271" t="s">
        <v>588</v>
      </c>
    </row>
    <row r="61" spans="1:4" hidden="1"/>
    <row r="62" spans="1:4" hidden="1">
      <c r="A62" s="214"/>
      <c r="B62" s="270" t="s">
        <v>23</v>
      </c>
      <c r="C62" s="214"/>
      <c r="D62" s="215"/>
    </row>
    <row r="63" spans="1:4" hidden="1">
      <c r="B63" s="267"/>
    </row>
    <row r="64" spans="1:4" hidden="1">
      <c r="A64" s="208">
        <v>2</v>
      </c>
      <c r="B64" s="266" t="s">
        <v>404</v>
      </c>
    </row>
    <row r="65" spans="1:4" hidden="1"/>
    <row r="66" spans="1:4" hidden="1">
      <c r="A66" s="216"/>
      <c r="B66" s="272" t="s">
        <v>405</v>
      </c>
      <c r="C66" s="216"/>
      <c r="D66" s="216"/>
    </row>
    <row r="67" spans="1:4" hidden="1">
      <c r="A67" s="216"/>
      <c r="B67" s="273"/>
      <c r="C67" s="216"/>
      <c r="D67" s="216"/>
    </row>
    <row r="68" spans="1:4" hidden="1">
      <c r="A68" s="214"/>
      <c r="B68" s="270" t="s">
        <v>406</v>
      </c>
      <c r="C68" s="214"/>
      <c r="D68" s="214"/>
    </row>
    <row r="69" spans="1:4" ht="14.4" hidden="1" thickBot="1">
      <c r="A69" s="217"/>
      <c r="B69" s="274" t="s">
        <v>407</v>
      </c>
      <c r="C69" s="217"/>
      <c r="D69" s="217"/>
    </row>
  </sheetData>
  <mergeCells count="4">
    <mergeCell ref="A17:A18"/>
    <mergeCell ref="B17:B18"/>
    <mergeCell ref="C17:C18"/>
    <mergeCell ref="D17:D18"/>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2"/>
  <sheetViews>
    <sheetView topLeftCell="A83" workbookViewId="0">
      <selection activeCell="D104" sqref="D104"/>
    </sheetView>
  </sheetViews>
  <sheetFormatPr defaultColWidth="9.109375" defaultRowHeight="13.2"/>
  <cols>
    <col min="1" max="1" width="5.6640625" style="31" customWidth="1"/>
    <col min="2" max="2" width="32.33203125" style="31" customWidth="1"/>
    <col min="3" max="3" width="6.6640625" style="31" customWidth="1"/>
    <col min="4" max="7" width="9.109375" style="31"/>
    <col min="8" max="8" width="6" style="31" customWidth="1"/>
    <col min="9" max="10" width="9.109375" style="31"/>
    <col min="11" max="11" width="11" style="31" bestFit="1" customWidth="1"/>
    <col min="12" max="16384" width="9.109375" style="31"/>
  </cols>
  <sheetData>
    <row r="1" spans="1:10" ht="13.8">
      <c r="B1" s="15" t="s">
        <v>318</v>
      </c>
    </row>
    <row r="2" spans="1:10" ht="13.8">
      <c r="B2" s="15"/>
    </row>
    <row r="3" spans="1:10" ht="13.8">
      <c r="A3" s="77" t="s">
        <v>0</v>
      </c>
      <c r="B3" s="78" t="s">
        <v>1</v>
      </c>
      <c r="C3" s="78" t="s">
        <v>2</v>
      </c>
      <c r="D3" s="78" t="s">
        <v>3</v>
      </c>
      <c r="E3" s="78" t="s">
        <v>4</v>
      </c>
      <c r="F3" s="78" t="s">
        <v>5</v>
      </c>
      <c r="G3" s="78" t="s">
        <v>6</v>
      </c>
      <c r="H3" s="78" t="s">
        <v>7</v>
      </c>
      <c r="I3" s="9"/>
    </row>
    <row r="4" spans="1:10" ht="13.8">
      <c r="A4" s="29"/>
      <c r="B4" s="44"/>
      <c r="C4" s="24"/>
      <c r="D4" s="24"/>
      <c r="E4" s="24"/>
      <c r="F4" s="24"/>
      <c r="G4" s="24"/>
      <c r="H4" s="24"/>
    </row>
    <row r="5" spans="1:10" ht="13.8">
      <c r="A5" s="29">
        <v>1</v>
      </c>
      <c r="B5" s="8" t="s">
        <v>319</v>
      </c>
      <c r="C5" s="46"/>
      <c r="D5" s="46"/>
      <c r="E5" s="46"/>
      <c r="F5" s="46"/>
      <c r="G5" s="1"/>
      <c r="H5" s="1"/>
    </row>
    <row r="6" spans="1:10" ht="13.8">
      <c r="A6" s="54"/>
      <c r="B6" s="46"/>
      <c r="C6" s="1">
        <v>6</v>
      </c>
      <c r="D6" s="5">
        <v>1.8</v>
      </c>
      <c r="E6" s="5">
        <v>1.8</v>
      </c>
      <c r="F6" s="5">
        <v>1.5</v>
      </c>
      <c r="G6" s="4">
        <f>C6*D6*E6*F6</f>
        <v>29.160000000000004</v>
      </c>
      <c r="H6" s="1" t="s">
        <v>12</v>
      </c>
      <c r="I6" s="80"/>
      <c r="J6" s="9"/>
    </row>
    <row r="7" spans="1:10" ht="13.8">
      <c r="A7" s="54"/>
      <c r="B7" s="46"/>
      <c r="C7" s="1"/>
      <c r="D7" s="5"/>
      <c r="E7" s="5"/>
      <c r="F7" s="5"/>
      <c r="G7" s="4"/>
      <c r="H7" s="1"/>
      <c r="I7" s="80"/>
      <c r="J7" s="9"/>
    </row>
    <row r="8" spans="1:10" ht="13.8">
      <c r="A8" s="54"/>
      <c r="B8" s="46"/>
      <c r="C8" s="1"/>
      <c r="D8" s="5"/>
      <c r="E8" s="5"/>
      <c r="F8" s="107"/>
      <c r="G8" s="122">
        <f>SUM(G6:G7)</f>
        <v>29.160000000000004</v>
      </c>
      <c r="H8" s="50"/>
      <c r="I8" s="80"/>
      <c r="J8" s="9"/>
    </row>
    <row r="9" spans="1:10" ht="13.8">
      <c r="A9" s="54"/>
      <c r="B9" s="46"/>
      <c r="C9" s="1"/>
      <c r="D9" s="5"/>
      <c r="E9" s="5"/>
      <c r="F9" s="75" t="s">
        <v>13</v>
      </c>
      <c r="G9" s="27">
        <f>ROUNDUP(G8,0)</f>
        <v>30</v>
      </c>
      <c r="H9" s="28" t="s">
        <v>9</v>
      </c>
      <c r="I9" s="80"/>
      <c r="J9" s="9"/>
    </row>
    <row r="10" spans="1:10" ht="13.8">
      <c r="A10" s="54"/>
      <c r="B10" s="8"/>
      <c r="C10" s="74"/>
      <c r="D10" s="74"/>
      <c r="E10" s="74"/>
      <c r="F10" s="74"/>
      <c r="G10" s="114" t="s">
        <v>320</v>
      </c>
      <c r="I10" s="80"/>
      <c r="J10" s="9"/>
    </row>
    <row r="11" spans="1:10" ht="13.8">
      <c r="A11" s="29"/>
      <c r="B11" s="8" t="s">
        <v>14</v>
      </c>
      <c r="C11" s="46"/>
      <c r="D11" s="46"/>
      <c r="E11" s="46"/>
      <c r="F11" s="46"/>
      <c r="G11" s="1"/>
      <c r="H11" s="1"/>
    </row>
    <row r="12" spans="1:10" ht="13.8">
      <c r="A12" s="29"/>
      <c r="B12" s="46" t="s">
        <v>321</v>
      </c>
      <c r="C12" s="1"/>
      <c r="D12" s="1"/>
      <c r="E12" s="1"/>
      <c r="F12" s="1"/>
      <c r="G12" s="2">
        <f>G8*0.7</f>
        <v>20.412000000000003</v>
      </c>
      <c r="H12" s="1" t="s">
        <v>12</v>
      </c>
    </row>
    <row r="13" spans="1:10" ht="13.8">
      <c r="A13" s="29"/>
      <c r="B13" s="44"/>
      <c r="C13" s="46"/>
      <c r="D13" s="46"/>
      <c r="E13" s="46"/>
      <c r="F13" s="75" t="s">
        <v>13</v>
      </c>
      <c r="G13" s="64">
        <f>ROUNDUP(G12,0)</f>
        <v>21</v>
      </c>
      <c r="H13" s="28" t="s">
        <v>9</v>
      </c>
    </row>
    <row r="14" spans="1:10">
      <c r="A14" s="54"/>
      <c r="C14" s="74"/>
      <c r="D14" s="74" t="s">
        <v>322</v>
      </c>
      <c r="E14" s="74"/>
      <c r="F14" s="74"/>
    </row>
    <row r="15" spans="1:10" ht="13.8">
      <c r="A15" s="29">
        <f>A5+1</f>
        <v>2</v>
      </c>
      <c r="B15" s="8" t="s">
        <v>323</v>
      </c>
      <c r="C15" s="46"/>
      <c r="D15" s="46"/>
      <c r="E15" s="46"/>
      <c r="F15" s="46"/>
      <c r="G15" s="33">
        <f>G13</f>
        <v>21</v>
      </c>
      <c r="H15" s="1" t="s">
        <v>12</v>
      </c>
    </row>
    <row r="16" spans="1:10" ht="13.8">
      <c r="A16" s="29"/>
      <c r="B16" s="8"/>
      <c r="C16" s="46"/>
      <c r="D16" s="46"/>
      <c r="E16" s="46"/>
      <c r="F16" s="46"/>
      <c r="G16" s="33"/>
      <c r="H16" s="1"/>
    </row>
    <row r="17" spans="1:9" ht="13.8">
      <c r="A17" s="29">
        <f>A15+1</f>
        <v>3</v>
      </c>
      <c r="B17" s="8" t="s">
        <v>324</v>
      </c>
      <c r="C17" s="46"/>
      <c r="D17" s="46"/>
      <c r="E17" s="46"/>
      <c r="F17" s="46"/>
      <c r="G17" s="1"/>
      <c r="H17" s="1"/>
    </row>
    <row r="18" spans="1:9" ht="13.8">
      <c r="A18" s="54"/>
      <c r="B18" s="46"/>
      <c r="C18" s="1">
        <v>6</v>
      </c>
      <c r="D18" s="5">
        <v>1.5</v>
      </c>
      <c r="E18" s="5">
        <v>1.5</v>
      </c>
      <c r="F18" s="5">
        <v>0.1</v>
      </c>
      <c r="G18" s="4">
        <f>C18*D18*E18*F18</f>
        <v>1.35</v>
      </c>
      <c r="H18" s="1" t="s">
        <v>12</v>
      </c>
    </row>
    <row r="19" spans="1:9" ht="13.8">
      <c r="A19" s="54"/>
      <c r="B19" s="46"/>
      <c r="C19" s="1"/>
      <c r="D19" s="5"/>
      <c r="E19" s="5"/>
      <c r="F19" s="5"/>
      <c r="G19" s="4"/>
      <c r="H19" s="1"/>
    </row>
    <row r="20" spans="1:9" ht="13.8">
      <c r="A20" s="54"/>
      <c r="B20" s="46"/>
      <c r="C20" s="1"/>
      <c r="D20" s="5"/>
      <c r="E20" s="5"/>
      <c r="F20" s="107"/>
      <c r="G20" s="122">
        <f>SUM(G17:G18)</f>
        <v>1.35</v>
      </c>
      <c r="H20" s="50" t="s">
        <v>12</v>
      </c>
    </row>
    <row r="21" spans="1:9" ht="13.8">
      <c r="A21" s="54"/>
      <c r="B21" s="46"/>
      <c r="C21" s="1"/>
      <c r="D21" s="5"/>
      <c r="E21" s="5"/>
      <c r="F21" s="75" t="s">
        <v>13</v>
      </c>
      <c r="G21" s="27">
        <f>ROUNDUP(G20,0)</f>
        <v>2</v>
      </c>
      <c r="H21" s="28" t="s">
        <v>9</v>
      </c>
    </row>
    <row r="22" spans="1:9" ht="13.8">
      <c r="A22" s="29"/>
      <c r="B22" s="8"/>
      <c r="C22" s="46"/>
      <c r="D22" s="46"/>
      <c r="E22" s="46"/>
      <c r="F22" s="46"/>
      <c r="G22" s="33"/>
      <c r="H22" s="1"/>
    </row>
    <row r="23" spans="1:9" ht="13.8">
      <c r="A23" s="29">
        <f>A17+1</f>
        <v>4</v>
      </c>
      <c r="B23" s="8" t="s">
        <v>325</v>
      </c>
      <c r="C23" s="46"/>
      <c r="D23" s="46"/>
      <c r="E23" s="46"/>
      <c r="F23" s="46"/>
      <c r="G23" s="1"/>
      <c r="H23" s="1"/>
    </row>
    <row r="24" spans="1:9" ht="13.8">
      <c r="A24" s="54"/>
      <c r="B24" s="46"/>
      <c r="C24" s="1">
        <v>200</v>
      </c>
      <c r="D24" s="5">
        <v>0.45</v>
      </c>
      <c r="E24" s="5">
        <v>0.45</v>
      </c>
      <c r="F24" s="5">
        <v>1.2</v>
      </c>
      <c r="G24" s="4">
        <f>C24*D24*E24*F24</f>
        <v>48.6</v>
      </c>
      <c r="H24" s="1" t="s">
        <v>12</v>
      </c>
    </row>
    <row r="25" spans="1:9" ht="13.8">
      <c r="A25" s="54"/>
      <c r="B25" s="46"/>
      <c r="C25" s="1"/>
      <c r="D25" s="5"/>
      <c r="E25" s="5"/>
      <c r="F25" s="5"/>
      <c r="G25" s="4"/>
      <c r="H25" s="1"/>
    </row>
    <row r="26" spans="1:9" ht="13.8">
      <c r="A26" s="54"/>
      <c r="B26" s="46"/>
      <c r="C26" s="1"/>
      <c r="D26" s="5"/>
      <c r="E26" s="5"/>
      <c r="F26" s="107"/>
      <c r="G26" s="122">
        <f>SUM(G24:G25)</f>
        <v>48.6</v>
      </c>
      <c r="H26" s="50" t="s">
        <v>12</v>
      </c>
    </row>
    <row r="27" spans="1:9" ht="13.8">
      <c r="A27" s="54"/>
      <c r="B27" s="46"/>
      <c r="C27" s="1"/>
      <c r="D27" s="5"/>
      <c r="E27" s="5"/>
      <c r="F27" s="75" t="s">
        <v>13</v>
      </c>
      <c r="G27" s="27">
        <f>ROUNDUP(G26,0)</f>
        <v>49</v>
      </c>
      <c r="H27" s="28" t="s">
        <v>9</v>
      </c>
    </row>
    <row r="28" spans="1:9" ht="13.8">
      <c r="A28" s="18"/>
      <c r="B28" s="52" t="s">
        <v>326</v>
      </c>
      <c r="C28" s="57"/>
      <c r="D28" s="57"/>
      <c r="E28" s="57"/>
      <c r="F28" s="57"/>
      <c r="G28" s="74"/>
      <c r="H28" s="57"/>
      <c r="I28" s="9"/>
    </row>
    <row r="29" spans="1:9" ht="13.8">
      <c r="A29" s="29">
        <f>A23+1</f>
        <v>5</v>
      </c>
      <c r="B29" s="9" t="s">
        <v>327</v>
      </c>
      <c r="C29" s="1"/>
      <c r="D29" s="5"/>
      <c r="E29" s="5"/>
      <c r="F29" s="5"/>
      <c r="G29" s="4"/>
      <c r="H29" s="1"/>
      <c r="I29" s="9"/>
    </row>
    <row r="30" spans="1:9" ht="13.8">
      <c r="A30" s="8"/>
      <c r="B30" s="46"/>
      <c r="C30" s="1">
        <v>6</v>
      </c>
      <c r="D30" s="5">
        <v>1.35</v>
      </c>
      <c r="E30" s="5">
        <v>1.35</v>
      </c>
      <c r="F30" s="5">
        <v>0.45</v>
      </c>
      <c r="G30" s="4">
        <f>C30*D30*E30*F30</f>
        <v>4.9207500000000008</v>
      </c>
      <c r="H30" s="1" t="s">
        <v>9</v>
      </c>
      <c r="I30" s="9"/>
    </row>
    <row r="31" spans="1:9" ht="13.8">
      <c r="A31" s="8"/>
      <c r="B31" s="46"/>
      <c r="C31" s="1"/>
      <c r="D31" s="5"/>
      <c r="E31" s="5"/>
      <c r="F31" s="5"/>
      <c r="G31" s="4"/>
      <c r="H31" s="1"/>
      <c r="I31" s="9"/>
    </row>
    <row r="32" spans="1:9" ht="13.8">
      <c r="A32" s="8"/>
      <c r="B32" s="46"/>
      <c r="C32" s="1"/>
      <c r="D32" s="5"/>
      <c r="E32" s="5"/>
      <c r="F32" s="107"/>
      <c r="G32" s="122">
        <f>SUM(G30:G31)</f>
        <v>4.9207500000000008</v>
      </c>
      <c r="H32" s="50" t="s">
        <v>12</v>
      </c>
      <c r="I32" s="9"/>
    </row>
    <row r="33" spans="1:9" ht="13.8">
      <c r="A33" s="8"/>
      <c r="B33" s="9"/>
      <c r="C33" s="46"/>
      <c r="D33" s="46"/>
      <c r="E33" s="46"/>
      <c r="F33" s="75" t="s">
        <v>13</v>
      </c>
      <c r="G33" s="27">
        <f>ROUNDUP(G32,0)</f>
        <v>5</v>
      </c>
      <c r="H33" s="28" t="s">
        <v>9</v>
      </c>
      <c r="I33" s="9"/>
    </row>
    <row r="34" spans="1:9" ht="13.8">
      <c r="A34" s="8"/>
      <c r="B34" s="9"/>
      <c r="C34" s="46"/>
      <c r="D34" s="46"/>
      <c r="E34" s="46"/>
      <c r="F34" s="46"/>
      <c r="G34" s="72"/>
      <c r="H34" s="24"/>
      <c r="I34" s="9"/>
    </row>
    <row r="35" spans="1:9" ht="13.8">
      <c r="A35" s="29">
        <f>A29+1</f>
        <v>6</v>
      </c>
      <c r="B35" s="9" t="s">
        <v>8</v>
      </c>
      <c r="C35" s="46"/>
      <c r="D35" s="46"/>
      <c r="E35" s="46"/>
      <c r="F35" s="46"/>
      <c r="G35" s="33"/>
      <c r="H35" s="24"/>
      <c r="I35" s="9"/>
    </row>
    <row r="36" spans="1:9" ht="13.8">
      <c r="A36" s="29"/>
      <c r="B36" s="46"/>
      <c r="C36" s="1">
        <v>6</v>
      </c>
      <c r="D36" s="5">
        <v>0.4</v>
      </c>
      <c r="E36" s="5">
        <v>0.4</v>
      </c>
      <c r="F36" s="5">
        <v>6</v>
      </c>
      <c r="G36" s="4">
        <f>C36*D36*E36*F36</f>
        <v>5.7600000000000016</v>
      </c>
      <c r="H36" s="1" t="s">
        <v>12</v>
      </c>
      <c r="I36" s="9"/>
    </row>
    <row r="37" spans="1:9" ht="13.8">
      <c r="A37" s="29"/>
      <c r="B37" s="46"/>
      <c r="C37" s="1"/>
      <c r="D37" s="5"/>
      <c r="E37" s="5"/>
      <c r="F37" s="5"/>
      <c r="G37" s="4"/>
      <c r="H37" s="1"/>
      <c r="I37" s="9"/>
    </row>
    <row r="38" spans="1:9" ht="13.8">
      <c r="A38" s="29"/>
      <c r="B38" s="46"/>
      <c r="C38" s="1"/>
      <c r="D38" s="5"/>
      <c r="E38" s="5"/>
      <c r="F38" s="107"/>
      <c r="G38" s="122">
        <f>SUM(G36:G37)</f>
        <v>5.7600000000000016</v>
      </c>
      <c r="H38" s="50" t="s">
        <v>12</v>
      </c>
      <c r="I38" s="9"/>
    </row>
    <row r="39" spans="1:9" ht="13.8">
      <c r="A39" s="29"/>
      <c r="B39" s="9"/>
      <c r="C39" s="46"/>
      <c r="D39" s="46"/>
      <c r="E39" s="46"/>
      <c r="F39" s="75" t="s">
        <v>13</v>
      </c>
      <c r="G39" s="27">
        <f>ROUNDUP(G38,0)</f>
        <v>6</v>
      </c>
      <c r="H39" s="28" t="s">
        <v>9</v>
      </c>
      <c r="I39" s="9"/>
    </row>
    <row r="40" spans="1:9" ht="13.8">
      <c r="A40" s="29"/>
      <c r="B40" s="9"/>
      <c r="C40" s="46"/>
      <c r="D40" s="46"/>
      <c r="E40" s="46"/>
      <c r="F40" s="46"/>
      <c r="G40" s="72"/>
      <c r="H40" s="24"/>
      <c r="I40" s="9"/>
    </row>
    <row r="41" spans="1:9" ht="13.8">
      <c r="A41" s="29">
        <f>A35+1</f>
        <v>7</v>
      </c>
      <c r="B41" s="9" t="s">
        <v>328</v>
      </c>
      <c r="C41" s="46"/>
      <c r="D41" s="46"/>
      <c r="E41" s="46"/>
      <c r="F41" s="46"/>
      <c r="G41" s="33"/>
      <c r="H41" s="24"/>
      <c r="I41" s="9"/>
    </row>
    <row r="42" spans="1:9" ht="13.8">
      <c r="A42" s="29"/>
      <c r="B42" s="46"/>
      <c r="C42" s="1">
        <v>2</v>
      </c>
      <c r="D42" s="5">
        <v>6</v>
      </c>
      <c r="E42" s="5">
        <v>0.23</v>
      </c>
      <c r="F42" s="5">
        <v>0.45</v>
      </c>
      <c r="G42" s="4">
        <f>C42*D42*E42*F42</f>
        <v>1.2420000000000002</v>
      </c>
      <c r="H42" s="1" t="s">
        <v>9</v>
      </c>
      <c r="I42" s="9"/>
    </row>
    <row r="43" spans="1:9" ht="13.8">
      <c r="A43" s="29"/>
      <c r="B43" s="46"/>
      <c r="C43" s="1"/>
      <c r="D43" s="5"/>
      <c r="E43" s="5"/>
      <c r="F43" s="5"/>
      <c r="G43" s="4"/>
      <c r="H43" s="1"/>
      <c r="I43" s="9"/>
    </row>
    <row r="44" spans="1:9" ht="13.8">
      <c r="A44" s="29"/>
      <c r="B44" s="46"/>
      <c r="C44" s="1"/>
      <c r="D44" s="5"/>
      <c r="E44" s="5"/>
      <c r="F44" s="107"/>
      <c r="G44" s="122">
        <f>SUM(G42:G43)</f>
        <v>1.2420000000000002</v>
      </c>
      <c r="H44" s="50" t="s">
        <v>12</v>
      </c>
      <c r="I44" s="9"/>
    </row>
    <row r="45" spans="1:9" ht="13.8">
      <c r="A45" s="29"/>
      <c r="B45" s="9"/>
      <c r="C45" s="46"/>
      <c r="D45" s="46"/>
      <c r="E45" s="46"/>
      <c r="F45" s="75" t="s">
        <v>13</v>
      </c>
      <c r="G45" s="27">
        <f>ROUNDUP(G44,0)</f>
        <v>2</v>
      </c>
      <c r="H45" s="28" t="s">
        <v>9</v>
      </c>
      <c r="I45" s="9"/>
    </row>
    <row r="46" spans="1:9" ht="13.8">
      <c r="A46" s="29"/>
      <c r="B46" s="9"/>
      <c r="C46" s="46"/>
      <c r="D46" s="46"/>
      <c r="E46" s="46"/>
      <c r="F46" s="46"/>
      <c r="G46" s="72"/>
      <c r="H46" s="24"/>
      <c r="I46" s="9"/>
    </row>
    <row r="47" spans="1:9" ht="13.8">
      <c r="A47" s="29">
        <f>A41+1</f>
        <v>8</v>
      </c>
      <c r="B47" s="9" t="s">
        <v>329</v>
      </c>
      <c r="C47" s="46"/>
      <c r="D47" s="46"/>
      <c r="E47" s="46"/>
      <c r="F47" s="46"/>
      <c r="G47" s="33"/>
      <c r="H47" s="24"/>
      <c r="I47" s="9"/>
    </row>
    <row r="48" spans="1:9" ht="13.8">
      <c r="A48" s="29"/>
      <c r="B48" s="46"/>
      <c r="C48" s="1">
        <v>2</v>
      </c>
      <c r="D48" s="5">
        <v>6</v>
      </c>
      <c r="E48" s="5">
        <v>0.4</v>
      </c>
      <c r="F48" s="5">
        <v>0.75</v>
      </c>
      <c r="G48" s="4">
        <f>C48*D48*E48*F48</f>
        <v>3.6000000000000005</v>
      </c>
      <c r="H48" s="1" t="s">
        <v>9</v>
      </c>
      <c r="I48" s="9"/>
    </row>
    <row r="49" spans="1:13" ht="13.8">
      <c r="A49" s="29"/>
      <c r="B49" s="9"/>
      <c r="C49" s="46"/>
      <c r="D49" s="46"/>
      <c r="E49" s="46"/>
      <c r="F49" s="75" t="s">
        <v>13</v>
      </c>
      <c r="G49" s="64">
        <f>ROUNDUP(G48,0)</f>
        <v>4</v>
      </c>
      <c r="H49" s="28" t="s">
        <v>9</v>
      </c>
      <c r="I49" s="9"/>
    </row>
    <row r="50" spans="1:13" ht="13.8">
      <c r="A50" s="29"/>
      <c r="B50" s="9"/>
      <c r="C50" s="46"/>
      <c r="D50" s="46"/>
      <c r="E50" s="46"/>
      <c r="F50" s="46"/>
      <c r="G50" s="72"/>
      <c r="H50" s="24"/>
      <c r="I50" s="9"/>
    </row>
    <row r="51" spans="1:13" ht="13.8">
      <c r="A51" s="13"/>
      <c r="B51" s="44" t="s">
        <v>330</v>
      </c>
      <c r="C51" s="1"/>
      <c r="D51" s="5"/>
      <c r="E51" s="5"/>
      <c r="F51" s="46"/>
      <c r="G51" s="33"/>
      <c r="H51" s="24"/>
      <c r="I51" s="9"/>
    </row>
    <row r="52" spans="1:13" ht="13.8">
      <c r="A52" s="29">
        <f>A47+1</f>
        <v>9</v>
      </c>
      <c r="B52" s="9" t="s">
        <v>331</v>
      </c>
      <c r="D52" s="5"/>
      <c r="E52" s="5"/>
      <c r="F52" s="46"/>
      <c r="G52" s="33"/>
      <c r="H52" s="24"/>
      <c r="I52" s="9"/>
    </row>
    <row r="53" spans="1:13" ht="13.8">
      <c r="A53" s="18"/>
      <c r="B53" s="46"/>
      <c r="C53" s="1">
        <v>6</v>
      </c>
      <c r="D53" s="5">
        <f>4*1.35</f>
        <v>5.4</v>
      </c>
      <c r="E53" s="5"/>
      <c r="F53" s="5">
        <v>0.45</v>
      </c>
      <c r="G53" s="4">
        <f>C53*D53*F53</f>
        <v>14.580000000000004</v>
      </c>
      <c r="H53" s="1" t="s">
        <v>17</v>
      </c>
      <c r="I53" s="9"/>
      <c r="J53" s="1"/>
      <c r="K53" s="5"/>
      <c r="L53" s="5"/>
      <c r="M53" s="5"/>
    </row>
    <row r="54" spans="1:13" ht="13.8">
      <c r="A54" s="18"/>
      <c r="B54" s="46"/>
      <c r="C54" s="1"/>
      <c r="D54" s="5"/>
      <c r="E54" s="5"/>
      <c r="F54" s="5"/>
      <c r="G54" s="4"/>
      <c r="H54" s="1"/>
      <c r="I54" s="9"/>
      <c r="J54" s="1"/>
      <c r="K54" s="5"/>
      <c r="L54" s="5"/>
      <c r="M54" s="5"/>
    </row>
    <row r="55" spans="1:13" ht="13.8">
      <c r="A55" s="18"/>
      <c r="B55" s="46"/>
      <c r="C55" s="1"/>
      <c r="D55" s="5"/>
      <c r="E55" s="5"/>
      <c r="F55" s="107"/>
      <c r="G55" s="122">
        <f>SUM(G53:G54)</f>
        <v>14.580000000000004</v>
      </c>
      <c r="H55" s="50" t="s">
        <v>17</v>
      </c>
      <c r="I55" s="9"/>
      <c r="J55" s="1"/>
      <c r="K55" s="5"/>
      <c r="L55" s="5"/>
      <c r="M55" s="5"/>
    </row>
    <row r="56" spans="1:13" ht="13.8">
      <c r="A56" s="18"/>
      <c r="B56" s="46"/>
      <c r="C56" s="46"/>
      <c r="D56" s="46"/>
      <c r="E56" s="46"/>
      <c r="F56" s="75" t="s">
        <v>13</v>
      </c>
      <c r="G56" s="27">
        <f>ROUNDUP(G55,0)</f>
        <v>15</v>
      </c>
      <c r="H56" s="28" t="s">
        <v>17</v>
      </c>
      <c r="I56" s="9"/>
    </row>
    <row r="57" spans="1:13" ht="13.8">
      <c r="A57" s="18"/>
      <c r="B57" s="46"/>
      <c r="C57" s="1"/>
      <c r="D57" s="5"/>
      <c r="E57" s="1"/>
      <c r="F57" s="46"/>
      <c r="G57" s="72"/>
      <c r="H57" s="24"/>
      <c r="I57" s="9"/>
    </row>
    <row r="58" spans="1:13" ht="13.8">
      <c r="A58" s="29">
        <f>A52+1</f>
        <v>10</v>
      </c>
      <c r="B58" s="9" t="s">
        <v>8</v>
      </c>
      <c r="C58" s="1"/>
      <c r="D58" s="5"/>
      <c r="E58" s="1"/>
      <c r="F58" s="46"/>
      <c r="G58" s="72"/>
      <c r="H58" s="24"/>
      <c r="I58" s="9"/>
    </row>
    <row r="59" spans="1:13" ht="13.8">
      <c r="A59" s="18"/>
      <c r="B59" s="46"/>
      <c r="C59" s="1">
        <v>6</v>
      </c>
      <c r="D59" s="5">
        <f>0.4*4</f>
        <v>1.6</v>
      </c>
      <c r="E59" s="5"/>
      <c r="F59" s="5">
        <v>6</v>
      </c>
      <c r="G59" s="4">
        <f>C59*D59*F59</f>
        <v>57.600000000000009</v>
      </c>
      <c r="H59" s="1" t="s">
        <v>17</v>
      </c>
      <c r="I59" s="9"/>
    </row>
    <row r="60" spans="1:13" ht="13.8">
      <c r="A60" s="18"/>
      <c r="B60" s="46"/>
      <c r="C60" s="1"/>
      <c r="D60" s="5"/>
      <c r="E60" s="5"/>
      <c r="F60" s="5"/>
      <c r="G60" s="4"/>
      <c r="H60" s="1"/>
      <c r="I60" s="9"/>
    </row>
    <row r="61" spans="1:13" ht="13.8">
      <c r="A61" s="18"/>
      <c r="B61" s="46"/>
      <c r="C61" s="1"/>
      <c r="D61" s="5"/>
      <c r="E61" s="5"/>
      <c r="F61" s="107"/>
      <c r="G61" s="122">
        <f>SUM(G59:G60)</f>
        <v>57.600000000000009</v>
      </c>
      <c r="H61" s="50"/>
      <c r="I61" s="9"/>
    </row>
    <row r="62" spans="1:13" ht="13.8">
      <c r="A62" s="18"/>
      <c r="B62" s="46"/>
      <c r="C62" s="46"/>
      <c r="D62" s="46"/>
      <c r="E62" s="46"/>
      <c r="F62" s="75" t="s">
        <v>13</v>
      </c>
      <c r="G62" s="64">
        <f>ROUNDUP(G61,0)</f>
        <v>58</v>
      </c>
      <c r="H62" s="28" t="s">
        <v>17</v>
      </c>
      <c r="I62" s="9"/>
    </row>
    <row r="63" spans="1:13" ht="13.8">
      <c r="A63" s="18"/>
      <c r="B63" s="46"/>
      <c r="C63" s="46"/>
      <c r="D63" s="46"/>
      <c r="E63" s="46"/>
      <c r="F63" s="46"/>
      <c r="G63" s="72"/>
      <c r="H63" s="24"/>
      <c r="I63" s="9"/>
    </row>
    <row r="64" spans="1:13" ht="13.8">
      <c r="A64" s="29">
        <f>A58+1</f>
        <v>11</v>
      </c>
      <c r="B64" s="9" t="s">
        <v>328</v>
      </c>
      <c r="C64" s="46"/>
      <c r="D64" s="46"/>
      <c r="E64" s="46"/>
      <c r="F64" s="46"/>
      <c r="G64" s="33"/>
      <c r="H64" s="24"/>
      <c r="I64" s="9"/>
    </row>
    <row r="65" spans="1:9" ht="13.8">
      <c r="A65" s="29"/>
      <c r="B65" s="46"/>
      <c r="C65" s="1">
        <v>2</v>
      </c>
      <c r="D65" s="5">
        <v>6</v>
      </c>
      <c r="E65" s="5"/>
      <c r="F65" s="5">
        <f>0.23+0.6+0.6</f>
        <v>1.43</v>
      </c>
      <c r="G65" s="4">
        <f>C65*D65*F65</f>
        <v>17.16</v>
      </c>
      <c r="H65" s="1" t="s">
        <v>17</v>
      </c>
      <c r="I65" s="9"/>
    </row>
    <row r="66" spans="1:9" ht="13.8">
      <c r="A66" s="29"/>
      <c r="B66" s="46"/>
      <c r="C66" s="1"/>
      <c r="D66" s="5"/>
      <c r="E66" s="5"/>
      <c r="F66" s="5"/>
      <c r="G66" s="4"/>
      <c r="H66" s="1"/>
      <c r="I66" s="9"/>
    </row>
    <row r="67" spans="1:9" ht="13.8">
      <c r="A67" s="29"/>
      <c r="B67" s="46"/>
      <c r="C67" s="1"/>
      <c r="D67" s="5"/>
      <c r="E67" s="5"/>
      <c r="F67" s="107"/>
      <c r="G67" s="122">
        <f>SUM(G65:G66)</f>
        <v>17.16</v>
      </c>
      <c r="H67" s="50" t="s">
        <v>17</v>
      </c>
      <c r="I67" s="9"/>
    </row>
    <row r="68" spans="1:9" ht="13.8">
      <c r="A68" s="29"/>
      <c r="B68" s="9"/>
      <c r="C68" s="46"/>
      <c r="D68" s="46"/>
      <c r="E68" s="46"/>
      <c r="F68" s="75" t="s">
        <v>13</v>
      </c>
      <c r="G68" s="64">
        <f>ROUNDUP(G67,0)</f>
        <v>18</v>
      </c>
      <c r="H68" s="28" t="s">
        <v>17</v>
      </c>
      <c r="I68" s="9"/>
    </row>
    <row r="69" spans="1:9" ht="13.8">
      <c r="A69" s="29"/>
      <c r="B69" s="9"/>
      <c r="C69" s="46"/>
      <c r="D69" s="46"/>
      <c r="E69" s="46"/>
      <c r="F69" s="46"/>
      <c r="G69" s="72"/>
      <c r="H69" s="24"/>
      <c r="I69" s="9"/>
    </row>
    <row r="70" spans="1:9" ht="13.8">
      <c r="A70" s="29">
        <f>A64+1</f>
        <v>12</v>
      </c>
      <c r="B70" s="9" t="s">
        <v>329</v>
      </c>
      <c r="C70" s="46"/>
      <c r="D70" s="46"/>
      <c r="E70" s="46"/>
      <c r="F70" s="46"/>
      <c r="G70" s="33"/>
      <c r="H70" s="24"/>
      <c r="I70" s="9"/>
    </row>
    <row r="71" spans="1:9" ht="13.8">
      <c r="A71" s="29"/>
      <c r="B71" s="46"/>
      <c r="C71" s="1">
        <v>2</v>
      </c>
      <c r="D71" s="5">
        <v>6</v>
      </c>
      <c r="E71" s="5"/>
      <c r="F71" s="5">
        <f>0.45+0.75+0.75</f>
        <v>1.95</v>
      </c>
      <c r="G71" s="4">
        <f>C71*D71*F71</f>
        <v>23.4</v>
      </c>
      <c r="H71" s="1" t="s">
        <v>17</v>
      </c>
      <c r="I71" s="9"/>
    </row>
    <row r="72" spans="1:9" ht="13.8">
      <c r="A72" s="29"/>
      <c r="B72" s="9"/>
      <c r="C72" s="46"/>
      <c r="D72" s="46"/>
      <c r="E72" s="46"/>
      <c r="F72" s="75" t="s">
        <v>13</v>
      </c>
      <c r="G72" s="64">
        <f>ROUNDUP(G71,0)</f>
        <v>24</v>
      </c>
      <c r="H72" s="28" t="s">
        <v>17</v>
      </c>
      <c r="I72" s="9"/>
    </row>
    <row r="73" spans="1:9" ht="13.8">
      <c r="A73" s="29"/>
      <c r="B73" s="9"/>
      <c r="C73" s="46"/>
      <c r="D73" s="46"/>
      <c r="E73" s="46"/>
      <c r="F73" s="46"/>
      <c r="G73" s="72"/>
      <c r="H73" s="24"/>
      <c r="I73" s="9"/>
    </row>
    <row r="74" spans="1:9" ht="13.8">
      <c r="A74" s="18"/>
      <c r="B74" s="46"/>
      <c r="C74" s="1"/>
      <c r="D74" s="5"/>
      <c r="E74" s="1"/>
      <c r="F74" s="46"/>
      <c r="G74" s="72"/>
      <c r="H74" s="24"/>
      <c r="I74" s="9"/>
    </row>
    <row r="75" spans="1:9" ht="13.8">
      <c r="A75" s="18"/>
      <c r="B75" s="46"/>
      <c r="C75" s="1"/>
      <c r="D75" s="5"/>
      <c r="E75" s="1"/>
      <c r="F75" s="46"/>
      <c r="G75" s="72"/>
      <c r="H75" s="24"/>
      <c r="I75" s="9"/>
    </row>
    <row r="76" spans="1:9" ht="13.8">
      <c r="A76" s="29">
        <f>A70+1</f>
        <v>13</v>
      </c>
      <c r="B76" s="52" t="s">
        <v>40</v>
      </c>
      <c r="C76" s="9"/>
      <c r="D76" s="9"/>
      <c r="E76" s="9"/>
      <c r="F76" s="9"/>
      <c r="G76" s="9"/>
      <c r="H76" s="9"/>
      <c r="I76" s="9"/>
    </row>
    <row r="77" spans="1:9" ht="13.8">
      <c r="A77" s="18"/>
      <c r="B77" s="9" t="s">
        <v>331</v>
      </c>
      <c r="C77" s="5">
        <f>G33</f>
        <v>5</v>
      </c>
      <c r="D77" s="1" t="s">
        <v>18</v>
      </c>
      <c r="E77" s="5">
        <v>50</v>
      </c>
      <c r="F77" s="46"/>
      <c r="G77" s="4">
        <f>C77*E77</f>
        <v>250</v>
      </c>
      <c r="H77" s="1" t="s">
        <v>19</v>
      </c>
      <c r="I77" s="9"/>
    </row>
    <row r="78" spans="1:9" ht="13.8">
      <c r="A78" s="18"/>
      <c r="B78" s="9" t="s">
        <v>48</v>
      </c>
      <c r="C78" s="5">
        <f>G39</f>
        <v>6</v>
      </c>
      <c r="D78" s="1" t="s">
        <v>18</v>
      </c>
      <c r="E78" s="5">
        <v>150</v>
      </c>
      <c r="F78" s="46"/>
      <c r="G78" s="4">
        <f>C78*E78</f>
        <v>900</v>
      </c>
      <c r="H78" s="1" t="s">
        <v>10</v>
      </c>
      <c r="I78" s="9"/>
    </row>
    <row r="79" spans="1:9" ht="13.8">
      <c r="A79" s="18"/>
      <c r="B79" s="9" t="s">
        <v>39</v>
      </c>
      <c r="C79" s="5">
        <f>G45</f>
        <v>2</v>
      </c>
      <c r="D79" s="1" t="s">
        <v>18</v>
      </c>
      <c r="E79" s="5">
        <v>150</v>
      </c>
      <c r="F79" s="46"/>
      <c r="G79" s="4">
        <f>C79*E79</f>
        <v>300</v>
      </c>
      <c r="H79" s="1" t="s">
        <v>10</v>
      </c>
      <c r="I79" s="9"/>
    </row>
    <row r="80" spans="1:9" ht="13.8">
      <c r="A80" s="18"/>
      <c r="B80" s="9" t="s">
        <v>329</v>
      </c>
      <c r="C80" s="5">
        <f>G49</f>
        <v>4</v>
      </c>
      <c r="D80" s="1" t="s">
        <v>18</v>
      </c>
      <c r="E80" s="5">
        <v>175</v>
      </c>
      <c r="F80" s="46"/>
      <c r="G80" s="4">
        <f>C80*E80</f>
        <v>700</v>
      </c>
      <c r="H80" s="1" t="s">
        <v>10</v>
      </c>
      <c r="I80" s="9"/>
    </row>
    <row r="81" spans="1:9" ht="13.8">
      <c r="A81" s="18"/>
      <c r="B81" s="9"/>
      <c r="C81" s="5"/>
      <c r="D81" s="1"/>
      <c r="E81" s="5"/>
      <c r="F81" s="46"/>
      <c r="G81" s="4"/>
      <c r="H81" s="1"/>
      <c r="I81" s="9"/>
    </row>
    <row r="82" spans="1:9" ht="13.8">
      <c r="A82" s="18"/>
      <c r="B82" s="9"/>
      <c r="C82" s="9"/>
      <c r="D82" s="9"/>
      <c r="E82" s="9"/>
      <c r="F82" s="70" t="s">
        <v>11</v>
      </c>
      <c r="G82" s="53">
        <f>SUM(G77:G81)</f>
        <v>2150</v>
      </c>
      <c r="H82" s="50" t="s">
        <v>19</v>
      </c>
      <c r="I82" s="9"/>
    </row>
    <row r="83" spans="1:9" ht="13.8">
      <c r="A83" s="18"/>
      <c r="B83" s="9"/>
      <c r="C83" s="9"/>
      <c r="D83" s="9"/>
      <c r="E83" s="9"/>
      <c r="F83" s="69" t="s">
        <v>13</v>
      </c>
      <c r="G83" s="27">
        <f>ROUNDUP(G82,0)</f>
        <v>2150</v>
      </c>
      <c r="H83" s="28" t="s">
        <v>332</v>
      </c>
      <c r="I83" s="9"/>
    </row>
    <row r="84" spans="1:9" ht="13.8">
      <c r="A84" s="18"/>
      <c r="B84" s="9"/>
      <c r="C84" s="9"/>
      <c r="D84" s="9"/>
      <c r="E84" s="9"/>
      <c r="F84" s="9"/>
      <c r="G84" s="33"/>
      <c r="H84" s="24"/>
      <c r="I84" s="9"/>
    </row>
    <row r="85" spans="1:9" ht="13.8">
      <c r="A85" s="18"/>
      <c r="B85" s="9"/>
      <c r="C85" s="9"/>
      <c r="D85" s="9"/>
      <c r="E85" s="9"/>
      <c r="F85" s="9"/>
      <c r="G85" s="33"/>
      <c r="H85" s="24"/>
      <c r="I85" s="9"/>
    </row>
    <row r="86" spans="1:9" ht="13.8">
      <c r="A86" s="29">
        <f>A76+1</f>
        <v>14</v>
      </c>
      <c r="B86" s="9" t="s">
        <v>353</v>
      </c>
      <c r="C86" s="1"/>
      <c r="D86" s="1"/>
      <c r="E86" s="1"/>
      <c r="F86" s="1"/>
      <c r="G86" s="33"/>
      <c r="H86" s="24"/>
      <c r="I86" s="9"/>
    </row>
    <row r="87" spans="1:9" ht="13.8">
      <c r="A87" s="29"/>
      <c r="B87" s="46" t="s">
        <v>48</v>
      </c>
      <c r="C87" s="1">
        <v>6</v>
      </c>
      <c r="D87" s="5">
        <f>0.4+0.4+0.4+0.4</f>
        <v>1.6</v>
      </c>
      <c r="E87" s="1"/>
      <c r="F87" s="5">
        <v>2.1</v>
      </c>
      <c r="G87" s="4">
        <f>C87*D87*F87</f>
        <v>20.160000000000004</v>
      </c>
      <c r="H87" s="1" t="s">
        <v>17</v>
      </c>
      <c r="I87" s="9"/>
    </row>
    <row r="88" spans="1:9" ht="13.8">
      <c r="A88" s="29"/>
      <c r="B88" s="46" t="s">
        <v>58</v>
      </c>
      <c r="C88" s="1">
        <v>2</v>
      </c>
      <c r="D88" s="5">
        <v>6</v>
      </c>
      <c r="E88" s="1"/>
      <c r="F88" s="5">
        <f>0.45+0.75+0.45+0.75</f>
        <v>2.4</v>
      </c>
      <c r="G88" s="4">
        <f>C88*D88*F88</f>
        <v>28.799999999999997</v>
      </c>
      <c r="H88" s="1"/>
      <c r="I88" s="9"/>
    </row>
    <row r="89" spans="1:9" ht="13.8">
      <c r="A89" s="29"/>
      <c r="B89" s="46"/>
      <c r="C89" s="1"/>
      <c r="D89" s="5"/>
      <c r="E89" s="1"/>
      <c r="F89" s="5"/>
      <c r="G89" s="4"/>
      <c r="H89" s="1"/>
      <c r="I89" s="9"/>
    </row>
    <row r="90" spans="1:9" ht="13.8">
      <c r="A90" s="29"/>
      <c r="B90" s="46"/>
      <c r="C90" s="1"/>
      <c r="D90" s="5"/>
      <c r="E90" s="1"/>
      <c r="F90" s="34" t="s">
        <v>11</v>
      </c>
      <c r="G90" s="53">
        <f>SUM(G87:G89)</f>
        <v>48.96</v>
      </c>
      <c r="H90" s="50" t="s">
        <v>17</v>
      </c>
      <c r="I90" s="9"/>
    </row>
    <row r="91" spans="1:9" ht="13.8">
      <c r="A91" s="29"/>
      <c r="B91" s="9"/>
      <c r="C91" s="1"/>
      <c r="D91" s="1"/>
      <c r="E91" s="1"/>
      <c r="F91" s="56" t="s">
        <v>13</v>
      </c>
      <c r="G91" s="27">
        <f>ROUNDUP(G90,0)</f>
        <v>49</v>
      </c>
      <c r="H91" s="28" t="s">
        <v>17</v>
      </c>
      <c r="I91" s="9"/>
    </row>
    <row r="92" spans="1:9" ht="13.8">
      <c r="A92" s="29"/>
      <c r="B92" s="9"/>
      <c r="C92" s="1"/>
      <c r="D92" s="1"/>
      <c r="E92" s="1"/>
      <c r="F92" s="1"/>
      <c r="G92" s="33"/>
      <c r="H92" s="24"/>
      <c r="I92" s="9"/>
    </row>
    <row r="93" spans="1:9" ht="13.8">
      <c r="A93" s="29">
        <f>A86+1</f>
        <v>15</v>
      </c>
      <c r="B93" s="9" t="s">
        <v>46</v>
      </c>
      <c r="C93" s="1"/>
      <c r="D93" s="5"/>
      <c r="E93" s="1"/>
      <c r="F93" s="5"/>
      <c r="G93" s="4"/>
      <c r="H93" s="1"/>
      <c r="I93" s="9"/>
    </row>
    <row r="94" spans="1:9" ht="13.8">
      <c r="A94" s="29"/>
      <c r="B94" s="46" t="s">
        <v>758</v>
      </c>
      <c r="C94" s="1"/>
      <c r="D94" s="1"/>
      <c r="E94" s="1"/>
      <c r="F94" s="1"/>
      <c r="G94" s="4">
        <f>G91</f>
        <v>49</v>
      </c>
      <c r="H94" s="1" t="s">
        <v>17</v>
      </c>
      <c r="I94" s="9"/>
    </row>
    <row r="95" spans="1:9" ht="13.8">
      <c r="A95" s="29"/>
      <c r="B95" s="46"/>
      <c r="C95" s="1"/>
      <c r="D95" s="1"/>
      <c r="E95" s="1"/>
      <c r="F95" s="56" t="s">
        <v>13</v>
      </c>
      <c r="G95" s="27">
        <f>ROUNDUP(G94,0)</f>
        <v>49</v>
      </c>
      <c r="H95" s="28" t="s">
        <v>17</v>
      </c>
      <c r="I95" s="9"/>
    </row>
    <row r="96" spans="1:9" ht="13.8">
      <c r="A96" s="29"/>
      <c r="B96" s="9"/>
      <c r="C96" s="1"/>
      <c r="D96" s="1"/>
      <c r="E96" s="1"/>
      <c r="F96" s="1"/>
      <c r="G96" s="33"/>
      <c r="H96" s="24"/>
      <c r="I96" s="9"/>
    </row>
    <row r="97" spans="1:9" ht="13.8">
      <c r="A97" s="29"/>
      <c r="B97" s="9"/>
      <c r="C97" s="1"/>
      <c r="D97" s="1"/>
      <c r="E97" s="1"/>
      <c r="F97" s="1"/>
      <c r="G97" s="33"/>
      <c r="H97" s="24"/>
      <c r="I97" s="9"/>
    </row>
    <row r="98" spans="1:9" ht="13.8">
      <c r="A98" s="29">
        <f>A93+1</f>
        <v>16</v>
      </c>
      <c r="B98" s="9" t="s">
        <v>333</v>
      </c>
    </row>
    <row r="99" spans="1:9" ht="13.8">
      <c r="A99" s="18"/>
      <c r="B99" s="46"/>
      <c r="C99" s="1">
        <v>2</v>
      </c>
      <c r="D99" s="5">
        <v>6</v>
      </c>
      <c r="E99" s="5">
        <v>2</v>
      </c>
      <c r="F99" s="5"/>
      <c r="G99" s="4">
        <f>C99*D99*E99</f>
        <v>24</v>
      </c>
      <c r="H99" s="1" t="s">
        <v>17</v>
      </c>
    </row>
    <row r="100" spans="1:9" ht="13.8">
      <c r="A100" s="18"/>
      <c r="B100" s="46"/>
      <c r="C100" s="1"/>
      <c r="D100" s="5"/>
      <c r="E100" s="5"/>
      <c r="F100" s="5" t="s">
        <v>334</v>
      </c>
      <c r="G100" s="4">
        <f>G99*90</f>
        <v>2160</v>
      </c>
      <c r="H100" s="1" t="s">
        <v>24</v>
      </c>
    </row>
    <row r="101" spans="1:9" ht="13.8">
      <c r="A101" s="18"/>
      <c r="B101" s="46"/>
      <c r="C101" s="1"/>
      <c r="D101" s="5"/>
      <c r="E101" s="5"/>
      <c r="F101" s="69" t="s">
        <v>13</v>
      </c>
      <c r="G101" s="64">
        <f>ROUNDUP(G100,0)</f>
        <v>2160</v>
      </c>
      <c r="H101" s="28" t="s">
        <v>24</v>
      </c>
    </row>
    <row r="102" spans="1:9" ht="13.8">
      <c r="A102" s="18"/>
    </row>
    <row r="103" spans="1:9" ht="13.8">
      <c r="A103" s="29">
        <f>A98+1</f>
        <v>17</v>
      </c>
      <c r="B103" s="9" t="s">
        <v>806</v>
      </c>
    </row>
    <row r="104" spans="1:9" ht="13.8">
      <c r="A104" s="18"/>
      <c r="B104" s="46"/>
      <c r="C104" s="1">
        <v>1</v>
      </c>
      <c r="D104" s="5">
        <v>380</v>
      </c>
      <c r="E104" s="5"/>
      <c r="F104" s="5"/>
      <c r="G104" s="4">
        <f>C104*D104</f>
        <v>380</v>
      </c>
      <c r="H104" s="1" t="s">
        <v>49</v>
      </c>
    </row>
    <row r="105" spans="1:9" ht="13.8">
      <c r="A105" s="18"/>
      <c r="B105" s="46"/>
      <c r="C105" s="1"/>
      <c r="D105" s="5"/>
      <c r="E105" s="5"/>
      <c r="F105" s="69" t="s">
        <v>13</v>
      </c>
      <c r="G105" s="64">
        <f>ROUNDUP(G104,0)</f>
        <v>380</v>
      </c>
      <c r="H105" s="28" t="s">
        <v>49</v>
      </c>
    </row>
    <row r="106" spans="1:9" ht="13.8">
      <c r="A106" s="18"/>
    </row>
    <row r="107" spans="1:9" ht="13.8">
      <c r="A107" s="18"/>
    </row>
    <row r="108" spans="1:9" ht="13.8">
      <c r="A108" s="18"/>
    </row>
    <row r="109" spans="1:9" ht="13.8">
      <c r="A109" s="18"/>
    </row>
    <row r="110" spans="1:9" ht="13.8">
      <c r="A110" s="18"/>
    </row>
    <row r="111" spans="1:9" ht="13.8">
      <c r="A111" s="18"/>
    </row>
    <row r="112" spans="1:9" ht="13.8">
      <c r="A112" s="18"/>
    </row>
    <row r="113" spans="1:1" ht="13.8">
      <c r="A113" s="18"/>
    </row>
    <row r="114" spans="1:1" ht="13.8">
      <c r="A114" s="18"/>
    </row>
    <row r="115" spans="1:1" ht="13.8">
      <c r="A115" s="18"/>
    </row>
    <row r="116" spans="1:1" ht="13.8">
      <c r="A116" s="18"/>
    </row>
    <row r="117" spans="1:1" ht="13.8">
      <c r="A117" s="18"/>
    </row>
    <row r="118" spans="1:1" ht="13.8">
      <c r="A118" s="18"/>
    </row>
    <row r="119" spans="1:1" ht="13.8">
      <c r="A119" s="18"/>
    </row>
    <row r="120" spans="1:1" ht="13.8">
      <c r="A120" s="18"/>
    </row>
    <row r="121" spans="1:1" ht="13.8">
      <c r="A121" s="18"/>
    </row>
    <row r="122" spans="1:1" ht="13.8">
      <c r="A122" s="18"/>
    </row>
    <row r="123" spans="1:1" ht="13.8">
      <c r="A123" s="18"/>
    </row>
    <row r="124" spans="1:1" ht="13.8">
      <c r="A124" s="18"/>
    </row>
    <row r="125" spans="1:1" ht="13.8">
      <c r="A125" s="18"/>
    </row>
    <row r="126" spans="1:1" ht="13.8">
      <c r="A126" s="18"/>
    </row>
    <row r="127" spans="1:1" ht="13.8">
      <c r="A127" s="18"/>
    </row>
    <row r="128" spans="1:1" ht="13.8">
      <c r="A128" s="18"/>
    </row>
    <row r="129" spans="1:1" ht="13.8">
      <c r="A129" s="18"/>
    </row>
    <row r="130" spans="1:1" ht="13.8">
      <c r="A130" s="18"/>
    </row>
    <row r="131" spans="1:1" ht="13.8">
      <c r="A131" s="18"/>
    </row>
    <row r="132" spans="1:1" ht="13.8">
      <c r="A132" s="1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K77"/>
  <sheetViews>
    <sheetView topLeftCell="A54" workbookViewId="0">
      <selection activeCell="D90" sqref="D90"/>
    </sheetView>
  </sheetViews>
  <sheetFormatPr defaultRowHeight="13.8"/>
  <cols>
    <col min="1" max="1" width="6.44140625" style="208" customWidth="1"/>
    <col min="2" max="2" width="61.33203125" style="266" customWidth="1"/>
    <col min="3" max="3" width="8.33203125" style="208" customWidth="1"/>
    <col min="4" max="4" width="7" style="208" customWidth="1"/>
    <col min="5" max="251" width="9.109375" style="11"/>
    <col min="252" max="252" width="4.33203125" style="11" customWidth="1"/>
    <col min="253" max="253" width="51.6640625" style="11" customWidth="1"/>
    <col min="254" max="254" width="8.33203125" style="11" customWidth="1"/>
    <col min="255" max="255" width="6.109375" style="11" customWidth="1"/>
    <col min="256" max="256" width="8.5546875" style="11" customWidth="1"/>
    <col min="257" max="257" width="12.44140625" style="11" customWidth="1"/>
    <col min="258" max="258" width="9.109375" style="11"/>
    <col min="259" max="259" width="10.6640625" style="11" customWidth="1"/>
    <col min="260" max="507" width="9.109375" style="11"/>
    <col min="508" max="508" width="4.33203125" style="11" customWidth="1"/>
    <col min="509" max="509" width="51.6640625" style="11" customWidth="1"/>
    <col min="510" max="510" width="8.33203125" style="11" customWidth="1"/>
    <col min="511" max="511" width="6.109375" style="11" customWidth="1"/>
    <col min="512" max="512" width="8.5546875" style="11" customWidth="1"/>
    <col min="513" max="513" width="12.44140625" style="11" customWidth="1"/>
    <col min="514" max="514" width="9.109375" style="11"/>
    <col min="515" max="515" width="10.6640625" style="11" customWidth="1"/>
    <col min="516" max="763" width="9.109375" style="11"/>
    <col min="764" max="764" width="4.33203125" style="11" customWidth="1"/>
    <col min="765" max="765" width="51.6640625" style="11" customWidth="1"/>
    <col min="766" max="766" width="8.33203125" style="11" customWidth="1"/>
    <col min="767" max="767" width="6.109375" style="11" customWidth="1"/>
    <col min="768" max="768" width="8.5546875" style="11" customWidth="1"/>
    <col min="769" max="769" width="12.44140625" style="11" customWidth="1"/>
    <col min="770" max="770" width="9.109375" style="11"/>
    <col min="771" max="771" width="10.6640625" style="11" customWidth="1"/>
    <col min="772" max="1019" width="9.109375" style="11"/>
    <col min="1020" max="1020" width="4.33203125" style="11" customWidth="1"/>
    <col min="1021" max="1021" width="51.6640625" style="11" customWidth="1"/>
    <col min="1022" max="1022" width="8.33203125" style="11" customWidth="1"/>
    <col min="1023" max="1023" width="6.109375" style="11" customWidth="1"/>
    <col min="1024" max="1024" width="8.5546875" style="11" customWidth="1"/>
    <col min="1025" max="1025" width="12.44140625" style="11" customWidth="1"/>
    <col min="1026" max="1026" width="9.109375" style="11"/>
    <col min="1027" max="1027" width="10.6640625" style="11" customWidth="1"/>
    <col min="1028" max="1275" width="9.109375" style="11"/>
    <col min="1276" max="1276" width="4.33203125" style="11" customWidth="1"/>
    <col min="1277" max="1277" width="51.6640625" style="11" customWidth="1"/>
    <col min="1278" max="1278" width="8.33203125" style="11" customWidth="1"/>
    <col min="1279" max="1279" width="6.109375" style="11" customWidth="1"/>
    <col min="1280" max="1280" width="8.5546875" style="11" customWidth="1"/>
    <col min="1281" max="1281" width="12.44140625" style="11" customWidth="1"/>
    <col min="1282" max="1282" width="9.109375" style="11"/>
    <col min="1283" max="1283" width="10.6640625" style="11" customWidth="1"/>
    <col min="1284" max="1531" width="9.109375" style="11"/>
    <col min="1532" max="1532" width="4.33203125" style="11" customWidth="1"/>
    <col min="1533" max="1533" width="51.6640625" style="11" customWidth="1"/>
    <col min="1534" max="1534" width="8.33203125" style="11" customWidth="1"/>
    <col min="1535" max="1535" width="6.109375" style="11" customWidth="1"/>
    <col min="1536" max="1536" width="8.5546875" style="11" customWidth="1"/>
    <col min="1537" max="1537" width="12.44140625" style="11" customWidth="1"/>
    <col min="1538" max="1538" width="9.109375" style="11"/>
    <col min="1539" max="1539" width="10.6640625" style="11" customWidth="1"/>
    <col min="1540" max="1787" width="9.109375" style="11"/>
    <col min="1788" max="1788" width="4.33203125" style="11" customWidth="1"/>
    <col min="1789" max="1789" width="51.6640625" style="11" customWidth="1"/>
    <col min="1790" max="1790" width="8.33203125" style="11" customWidth="1"/>
    <col min="1791" max="1791" width="6.109375" style="11" customWidth="1"/>
    <col min="1792" max="1792" width="8.5546875" style="11" customWidth="1"/>
    <col min="1793" max="1793" width="12.44140625" style="11" customWidth="1"/>
    <col min="1794" max="1794" width="9.109375" style="11"/>
    <col min="1795" max="1795" width="10.6640625" style="11" customWidth="1"/>
    <col min="1796" max="2043" width="9.109375" style="11"/>
    <col min="2044" max="2044" width="4.33203125" style="11" customWidth="1"/>
    <col min="2045" max="2045" width="51.6640625" style="11" customWidth="1"/>
    <col min="2046" max="2046" width="8.33203125" style="11" customWidth="1"/>
    <col min="2047" max="2047" width="6.109375" style="11" customWidth="1"/>
    <col min="2048" max="2048" width="8.5546875" style="11" customWidth="1"/>
    <col min="2049" max="2049" width="12.44140625" style="11" customWidth="1"/>
    <col min="2050" max="2050" width="9.109375" style="11"/>
    <col min="2051" max="2051" width="10.6640625" style="11" customWidth="1"/>
    <col min="2052" max="2299" width="9.109375" style="11"/>
    <col min="2300" max="2300" width="4.33203125" style="11" customWidth="1"/>
    <col min="2301" max="2301" width="51.6640625" style="11" customWidth="1"/>
    <col min="2302" max="2302" width="8.33203125" style="11" customWidth="1"/>
    <col min="2303" max="2303" width="6.109375" style="11" customWidth="1"/>
    <col min="2304" max="2304" width="8.5546875" style="11" customWidth="1"/>
    <col min="2305" max="2305" width="12.44140625" style="11" customWidth="1"/>
    <col min="2306" max="2306" width="9.109375" style="11"/>
    <col min="2307" max="2307" width="10.6640625" style="11" customWidth="1"/>
    <col min="2308" max="2555" width="9.109375" style="11"/>
    <col min="2556" max="2556" width="4.33203125" style="11" customWidth="1"/>
    <col min="2557" max="2557" width="51.6640625" style="11" customWidth="1"/>
    <col min="2558" max="2558" width="8.33203125" style="11" customWidth="1"/>
    <col min="2559" max="2559" width="6.109375" style="11" customWidth="1"/>
    <col min="2560" max="2560" width="8.5546875" style="11" customWidth="1"/>
    <col min="2561" max="2561" width="12.44140625" style="11" customWidth="1"/>
    <col min="2562" max="2562" width="9.109375" style="11"/>
    <col min="2563" max="2563" width="10.6640625" style="11" customWidth="1"/>
    <col min="2564" max="2811" width="9.109375" style="11"/>
    <col min="2812" max="2812" width="4.33203125" style="11" customWidth="1"/>
    <col min="2813" max="2813" width="51.6640625" style="11" customWidth="1"/>
    <col min="2814" max="2814" width="8.33203125" style="11" customWidth="1"/>
    <col min="2815" max="2815" width="6.109375" style="11" customWidth="1"/>
    <col min="2816" max="2816" width="8.5546875" style="11" customWidth="1"/>
    <col min="2817" max="2817" width="12.44140625" style="11" customWidth="1"/>
    <col min="2818" max="2818" width="9.109375" style="11"/>
    <col min="2819" max="2819" width="10.6640625" style="11" customWidth="1"/>
    <col min="2820" max="3067" width="9.109375" style="11"/>
    <col min="3068" max="3068" width="4.33203125" style="11" customWidth="1"/>
    <col min="3069" max="3069" width="51.6640625" style="11" customWidth="1"/>
    <col min="3070" max="3070" width="8.33203125" style="11" customWidth="1"/>
    <col min="3071" max="3071" width="6.109375" style="11" customWidth="1"/>
    <col min="3072" max="3072" width="8.5546875" style="11" customWidth="1"/>
    <col min="3073" max="3073" width="12.44140625" style="11" customWidth="1"/>
    <col min="3074" max="3074" width="9.109375" style="11"/>
    <col min="3075" max="3075" width="10.6640625" style="11" customWidth="1"/>
    <col min="3076" max="3323" width="9.109375" style="11"/>
    <col min="3324" max="3324" width="4.33203125" style="11" customWidth="1"/>
    <col min="3325" max="3325" width="51.6640625" style="11" customWidth="1"/>
    <col min="3326" max="3326" width="8.33203125" style="11" customWidth="1"/>
    <col min="3327" max="3327" width="6.109375" style="11" customWidth="1"/>
    <col min="3328" max="3328" width="8.5546875" style="11" customWidth="1"/>
    <col min="3329" max="3329" width="12.44140625" style="11" customWidth="1"/>
    <col min="3330" max="3330" width="9.109375" style="11"/>
    <col min="3331" max="3331" width="10.6640625" style="11" customWidth="1"/>
    <col min="3332" max="3579" width="9.109375" style="11"/>
    <col min="3580" max="3580" width="4.33203125" style="11" customWidth="1"/>
    <col min="3581" max="3581" width="51.6640625" style="11" customWidth="1"/>
    <col min="3582" max="3582" width="8.33203125" style="11" customWidth="1"/>
    <col min="3583" max="3583" width="6.109375" style="11" customWidth="1"/>
    <col min="3584" max="3584" width="8.5546875" style="11" customWidth="1"/>
    <col min="3585" max="3585" width="12.44140625" style="11" customWidth="1"/>
    <col min="3586" max="3586" width="9.109375" style="11"/>
    <col min="3587" max="3587" width="10.6640625" style="11" customWidth="1"/>
    <col min="3588" max="3835" width="9.109375" style="11"/>
    <col min="3836" max="3836" width="4.33203125" style="11" customWidth="1"/>
    <col min="3837" max="3837" width="51.6640625" style="11" customWidth="1"/>
    <col min="3838" max="3838" width="8.33203125" style="11" customWidth="1"/>
    <col min="3839" max="3839" width="6.109375" style="11" customWidth="1"/>
    <col min="3840" max="3840" width="8.5546875" style="11" customWidth="1"/>
    <col min="3841" max="3841" width="12.44140625" style="11" customWidth="1"/>
    <col min="3842" max="3842" width="9.109375" style="11"/>
    <col min="3843" max="3843" width="10.6640625" style="11" customWidth="1"/>
    <col min="3844" max="4091" width="9.109375" style="11"/>
    <col min="4092" max="4092" width="4.33203125" style="11" customWidth="1"/>
    <col min="4093" max="4093" width="51.6640625" style="11" customWidth="1"/>
    <col min="4094" max="4094" width="8.33203125" style="11" customWidth="1"/>
    <col min="4095" max="4095" width="6.109375" style="11" customWidth="1"/>
    <col min="4096" max="4096" width="8.5546875" style="11" customWidth="1"/>
    <col min="4097" max="4097" width="12.44140625" style="11" customWidth="1"/>
    <col min="4098" max="4098" width="9.109375" style="11"/>
    <col min="4099" max="4099" width="10.6640625" style="11" customWidth="1"/>
    <col min="4100" max="4347" width="9.109375" style="11"/>
    <col min="4348" max="4348" width="4.33203125" style="11" customWidth="1"/>
    <col min="4349" max="4349" width="51.6640625" style="11" customWidth="1"/>
    <col min="4350" max="4350" width="8.33203125" style="11" customWidth="1"/>
    <col min="4351" max="4351" width="6.109375" style="11" customWidth="1"/>
    <col min="4352" max="4352" width="8.5546875" style="11" customWidth="1"/>
    <col min="4353" max="4353" width="12.44140625" style="11" customWidth="1"/>
    <col min="4354" max="4354" width="9.109375" style="11"/>
    <col min="4355" max="4355" width="10.6640625" style="11" customWidth="1"/>
    <col min="4356" max="4603" width="9.109375" style="11"/>
    <col min="4604" max="4604" width="4.33203125" style="11" customWidth="1"/>
    <col min="4605" max="4605" width="51.6640625" style="11" customWidth="1"/>
    <col min="4606" max="4606" width="8.33203125" style="11" customWidth="1"/>
    <col min="4607" max="4607" width="6.109375" style="11" customWidth="1"/>
    <col min="4608" max="4608" width="8.5546875" style="11" customWidth="1"/>
    <col min="4609" max="4609" width="12.44140625" style="11" customWidth="1"/>
    <col min="4610" max="4610" width="9.109375" style="11"/>
    <col min="4611" max="4611" width="10.6640625" style="11" customWidth="1"/>
    <col min="4612" max="4859" width="9.109375" style="11"/>
    <col min="4860" max="4860" width="4.33203125" style="11" customWidth="1"/>
    <col min="4861" max="4861" width="51.6640625" style="11" customWidth="1"/>
    <col min="4862" max="4862" width="8.33203125" style="11" customWidth="1"/>
    <col min="4863" max="4863" width="6.109375" style="11" customWidth="1"/>
    <col min="4864" max="4864" width="8.5546875" style="11" customWidth="1"/>
    <col min="4865" max="4865" width="12.44140625" style="11" customWidth="1"/>
    <col min="4866" max="4866" width="9.109375" style="11"/>
    <col min="4867" max="4867" width="10.6640625" style="11" customWidth="1"/>
    <col min="4868" max="5115" width="9.109375" style="11"/>
    <col min="5116" max="5116" width="4.33203125" style="11" customWidth="1"/>
    <col min="5117" max="5117" width="51.6640625" style="11" customWidth="1"/>
    <col min="5118" max="5118" width="8.33203125" style="11" customWidth="1"/>
    <col min="5119" max="5119" width="6.109375" style="11" customWidth="1"/>
    <col min="5120" max="5120" width="8.5546875" style="11" customWidth="1"/>
    <col min="5121" max="5121" width="12.44140625" style="11" customWidth="1"/>
    <col min="5122" max="5122" width="9.109375" style="11"/>
    <col min="5123" max="5123" width="10.6640625" style="11" customWidth="1"/>
    <col min="5124" max="5371" width="9.109375" style="11"/>
    <col min="5372" max="5372" width="4.33203125" style="11" customWidth="1"/>
    <col min="5373" max="5373" width="51.6640625" style="11" customWidth="1"/>
    <col min="5374" max="5374" width="8.33203125" style="11" customWidth="1"/>
    <col min="5375" max="5375" width="6.109375" style="11" customWidth="1"/>
    <col min="5376" max="5376" width="8.5546875" style="11" customWidth="1"/>
    <col min="5377" max="5377" width="12.44140625" style="11" customWidth="1"/>
    <col min="5378" max="5378" width="9.109375" style="11"/>
    <col min="5379" max="5379" width="10.6640625" style="11" customWidth="1"/>
    <col min="5380" max="5627" width="9.109375" style="11"/>
    <col min="5628" max="5628" width="4.33203125" style="11" customWidth="1"/>
    <col min="5629" max="5629" width="51.6640625" style="11" customWidth="1"/>
    <col min="5630" max="5630" width="8.33203125" style="11" customWidth="1"/>
    <col min="5631" max="5631" width="6.109375" style="11" customWidth="1"/>
    <col min="5632" max="5632" width="8.5546875" style="11" customWidth="1"/>
    <col min="5633" max="5633" width="12.44140625" style="11" customWidth="1"/>
    <col min="5634" max="5634" width="9.109375" style="11"/>
    <col min="5635" max="5635" width="10.6640625" style="11" customWidth="1"/>
    <col min="5636" max="5883" width="9.109375" style="11"/>
    <col min="5884" max="5884" width="4.33203125" style="11" customWidth="1"/>
    <col min="5885" max="5885" width="51.6640625" style="11" customWidth="1"/>
    <col min="5886" max="5886" width="8.33203125" style="11" customWidth="1"/>
    <col min="5887" max="5887" width="6.109375" style="11" customWidth="1"/>
    <col min="5888" max="5888" width="8.5546875" style="11" customWidth="1"/>
    <col min="5889" max="5889" width="12.44140625" style="11" customWidth="1"/>
    <col min="5890" max="5890" width="9.109375" style="11"/>
    <col min="5891" max="5891" width="10.6640625" style="11" customWidth="1"/>
    <col min="5892" max="6139" width="9.109375" style="11"/>
    <col min="6140" max="6140" width="4.33203125" style="11" customWidth="1"/>
    <col min="6141" max="6141" width="51.6640625" style="11" customWidth="1"/>
    <col min="6142" max="6142" width="8.33203125" style="11" customWidth="1"/>
    <col min="6143" max="6143" width="6.109375" style="11" customWidth="1"/>
    <col min="6144" max="6144" width="8.5546875" style="11" customWidth="1"/>
    <col min="6145" max="6145" width="12.44140625" style="11" customWidth="1"/>
    <col min="6146" max="6146" width="9.109375" style="11"/>
    <col min="6147" max="6147" width="10.6640625" style="11" customWidth="1"/>
    <col min="6148" max="6395" width="9.109375" style="11"/>
    <col min="6396" max="6396" width="4.33203125" style="11" customWidth="1"/>
    <col min="6397" max="6397" width="51.6640625" style="11" customWidth="1"/>
    <col min="6398" max="6398" width="8.33203125" style="11" customWidth="1"/>
    <col min="6399" max="6399" width="6.109375" style="11" customWidth="1"/>
    <col min="6400" max="6400" width="8.5546875" style="11" customWidth="1"/>
    <col min="6401" max="6401" width="12.44140625" style="11" customWidth="1"/>
    <col min="6402" max="6402" width="9.109375" style="11"/>
    <col min="6403" max="6403" width="10.6640625" style="11" customWidth="1"/>
    <col min="6404" max="6651" width="9.109375" style="11"/>
    <col min="6652" max="6652" width="4.33203125" style="11" customWidth="1"/>
    <col min="6653" max="6653" width="51.6640625" style="11" customWidth="1"/>
    <col min="6654" max="6654" width="8.33203125" style="11" customWidth="1"/>
    <col min="6655" max="6655" width="6.109375" style="11" customWidth="1"/>
    <col min="6656" max="6656" width="8.5546875" style="11" customWidth="1"/>
    <col min="6657" max="6657" width="12.44140625" style="11" customWidth="1"/>
    <col min="6658" max="6658" width="9.109375" style="11"/>
    <col min="6659" max="6659" width="10.6640625" style="11" customWidth="1"/>
    <col min="6660" max="6907" width="9.109375" style="11"/>
    <col min="6908" max="6908" width="4.33203125" style="11" customWidth="1"/>
    <col min="6909" max="6909" width="51.6640625" style="11" customWidth="1"/>
    <col min="6910" max="6910" width="8.33203125" style="11" customWidth="1"/>
    <col min="6911" max="6911" width="6.109375" style="11" customWidth="1"/>
    <col min="6912" max="6912" width="8.5546875" style="11" customWidth="1"/>
    <col min="6913" max="6913" width="12.44140625" style="11" customWidth="1"/>
    <col min="6914" max="6914" width="9.109375" style="11"/>
    <col min="6915" max="6915" width="10.6640625" style="11" customWidth="1"/>
    <col min="6916" max="7163" width="9.109375" style="11"/>
    <col min="7164" max="7164" width="4.33203125" style="11" customWidth="1"/>
    <col min="7165" max="7165" width="51.6640625" style="11" customWidth="1"/>
    <col min="7166" max="7166" width="8.33203125" style="11" customWidth="1"/>
    <col min="7167" max="7167" width="6.109375" style="11" customWidth="1"/>
    <col min="7168" max="7168" width="8.5546875" style="11" customWidth="1"/>
    <col min="7169" max="7169" width="12.44140625" style="11" customWidth="1"/>
    <col min="7170" max="7170" width="9.109375" style="11"/>
    <col min="7171" max="7171" width="10.6640625" style="11" customWidth="1"/>
    <col min="7172" max="7419" width="9.109375" style="11"/>
    <col min="7420" max="7420" width="4.33203125" style="11" customWidth="1"/>
    <col min="7421" max="7421" width="51.6640625" style="11" customWidth="1"/>
    <col min="7422" max="7422" width="8.33203125" style="11" customWidth="1"/>
    <col min="7423" max="7423" width="6.109375" style="11" customWidth="1"/>
    <col min="7424" max="7424" width="8.5546875" style="11" customWidth="1"/>
    <col min="7425" max="7425" width="12.44140625" style="11" customWidth="1"/>
    <col min="7426" max="7426" width="9.109375" style="11"/>
    <col min="7427" max="7427" width="10.6640625" style="11" customWidth="1"/>
    <col min="7428" max="7675" width="9.109375" style="11"/>
    <col min="7676" max="7676" width="4.33203125" style="11" customWidth="1"/>
    <col min="7677" max="7677" width="51.6640625" style="11" customWidth="1"/>
    <col min="7678" max="7678" width="8.33203125" style="11" customWidth="1"/>
    <col min="7679" max="7679" width="6.109375" style="11" customWidth="1"/>
    <col min="7680" max="7680" width="8.5546875" style="11" customWidth="1"/>
    <col min="7681" max="7681" width="12.44140625" style="11" customWidth="1"/>
    <col min="7682" max="7682" width="9.109375" style="11"/>
    <col min="7683" max="7683" width="10.6640625" style="11" customWidth="1"/>
    <col min="7684" max="7931" width="9.109375" style="11"/>
    <col min="7932" max="7932" width="4.33203125" style="11" customWidth="1"/>
    <col min="7933" max="7933" width="51.6640625" style="11" customWidth="1"/>
    <col min="7934" max="7934" width="8.33203125" style="11" customWidth="1"/>
    <col min="7935" max="7935" width="6.109375" style="11" customWidth="1"/>
    <col min="7936" max="7936" width="8.5546875" style="11" customWidth="1"/>
    <col min="7937" max="7937" width="12.44140625" style="11" customWidth="1"/>
    <col min="7938" max="7938" width="9.109375" style="11"/>
    <col min="7939" max="7939" width="10.6640625" style="11" customWidth="1"/>
    <col min="7940" max="8187" width="9.109375" style="11"/>
    <col min="8188" max="8188" width="4.33203125" style="11" customWidth="1"/>
    <col min="8189" max="8189" width="51.6640625" style="11" customWidth="1"/>
    <col min="8190" max="8190" width="8.33203125" style="11" customWidth="1"/>
    <col min="8191" max="8191" width="6.109375" style="11" customWidth="1"/>
    <col min="8192" max="8192" width="8.5546875" style="11" customWidth="1"/>
    <col min="8193" max="8193" width="12.44140625" style="11" customWidth="1"/>
    <col min="8194" max="8194" width="9.109375" style="11"/>
    <col min="8195" max="8195" width="10.6640625" style="11" customWidth="1"/>
    <col min="8196" max="8443" width="9.109375" style="11"/>
    <col min="8444" max="8444" width="4.33203125" style="11" customWidth="1"/>
    <col min="8445" max="8445" width="51.6640625" style="11" customWidth="1"/>
    <col min="8446" max="8446" width="8.33203125" style="11" customWidth="1"/>
    <col min="8447" max="8447" width="6.109375" style="11" customWidth="1"/>
    <col min="8448" max="8448" width="8.5546875" style="11" customWidth="1"/>
    <col min="8449" max="8449" width="12.44140625" style="11" customWidth="1"/>
    <col min="8450" max="8450" width="9.109375" style="11"/>
    <col min="8451" max="8451" width="10.6640625" style="11" customWidth="1"/>
    <col min="8452" max="8699" width="9.109375" style="11"/>
    <col min="8700" max="8700" width="4.33203125" style="11" customWidth="1"/>
    <col min="8701" max="8701" width="51.6640625" style="11" customWidth="1"/>
    <col min="8702" max="8702" width="8.33203125" style="11" customWidth="1"/>
    <col min="8703" max="8703" width="6.109375" style="11" customWidth="1"/>
    <col min="8704" max="8704" width="8.5546875" style="11" customWidth="1"/>
    <col min="8705" max="8705" width="12.44140625" style="11" customWidth="1"/>
    <col min="8706" max="8706" width="9.109375" style="11"/>
    <col min="8707" max="8707" width="10.6640625" style="11" customWidth="1"/>
    <col min="8708" max="8955" width="9.109375" style="11"/>
    <col min="8956" max="8956" width="4.33203125" style="11" customWidth="1"/>
    <col min="8957" max="8957" width="51.6640625" style="11" customWidth="1"/>
    <col min="8958" max="8958" width="8.33203125" style="11" customWidth="1"/>
    <col min="8959" max="8959" width="6.109375" style="11" customWidth="1"/>
    <col min="8960" max="8960" width="8.5546875" style="11" customWidth="1"/>
    <col min="8961" max="8961" width="12.44140625" style="11" customWidth="1"/>
    <col min="8962" max="8962" width="9.109375" style="11"/>
    <col min="8963" max="8963" width="10.6640625" style="11" customWidth="1"/>
    <col min="8964" max="9211" width="9.109375" style="11"/>
    <col min="9212" max="9212" width="4.33203125" style="11" customWidth="1"/>
    <col min="9213" max="9213" width="51.6640625" style="11" customWidth="1"/>
    <col min="9214" max="9214" width="8.33203125" style="11" customWidth="1"/>
    <col min="9215" max="9215" width="6.109375" style="11" customWidth="1"/>
    <col min="9216" max="9216" width="8.5546875" style="11" customWidth="1"/>
    <col min="9217" max="9217" width="12.44140625" style="11" customWidth="1"/>
    <col min="9218" max="9218" width="9.109375" style="11"/>
    <col min="9219" max="9219" width="10.6640625" style="11" customWidth="1"/>
    <col min="9220" max="9467" width="9.109375" style="11"/>
    <col min="9468" max="9468" width="4.33203125" style="11" customWidth="1"/>
    <col min="9469" max="9469" width="51.6640625" style="11" customWidth="1"/>
    <col min="9470" max="9470" width="8.33203125" style="11" customWidth="1"/>
    <col min="9471" max="9471" width="6.109375" style="11" customWidth="1"/>
    <col min="9472" max="9472" width="8.5546875" style="11" customWidth="1"/>
    <col min="9473" max="9473" width="12.44140625" style="11" customWidth="1"/>
    <col min="9474" max="9474" width="9.109375" style="11"/>
    <col min="9475" max="9475" width="10.6640625" style="11" customWidth="1"/>
    <col min="9476" max="9723" width="9.109375" style="11"/>
    <col min="9724" max="9724" width="4.33203125" style="11" customWidth="1"/>
    <col min="9725" max="9725" width="51.6640625" style="11" customWidth="1"/>
    <col min="9726" max="9726" width="8.33203125" style="11" customWidth="1"/>
    <col min="9727" max="9727" width="6.109375" style="11" customWidth="1"/>
    <col min="9728" max="9728" width="8.5546875" style="11" customWidth="1"/>
    <col min="9729" max="9729" width="12.44140625" style="11" customWidth="1"/>
    <col min="9730" max="9730" width="9.109375" style="11"/>
    <col min="9731" max="9731" width="10.6640625" style="11" customWidth="1"/>
    <col min="9732" max="9979" width="9.109375" style="11"/>
    <col min="9980" max="9980" width="4.33203125" style="11" customWidth="1"/>
    <col min="9981" max="9981" width="51.6640625" style="11" customWidth="1"/>
    <col min="9982" max="9982" width="8.33203125" style="11" customWidth="1"/>
    <col min="9983" max="9983" width="6.109375" style="11" customWidth="1"/>
    <col min="9984" max="9984" width="8.5546875" style="11" customWidth="1"/>
    <col min="9985" max="9985" width="12.44140625" style="11" customWidth="1"/>
    <col min="9986" max="9986" width="9.109375" style="11"/>
    <col min="9987" max="9987" width="10.6640625" style="11" customWidth="1"/>
    <col min="9988" max="10235" width="9.109375" style="11"/>
    <col min="10236" max="10236" width="4.33203125" style="11" customWidth="1"/>
    <col min="10237" max="10237" width="51.6640625" style="11" customWidth="1"/>
    <col min="10238" max="10238" width="8.33203125" style="11" customWidth="1"/>
    <col min="10239" max="10239" width="6.109375" style="11" customWidth="1"/>
    <col min="10240" max="10240" width="8.5546875" style="11" customWidth="1"/>
    <col min="10241" max="10241" width="12.44140625" style="11" customWidth="1"/>
    <col min="10242" max="10242" width="9.109375" style="11"/>
    <col min="10243" max="10243" width="10.6640625" style="11" customWidth="1"/>
    <col min="10244" max="10491" width="9.109375" style="11"/>
    <col min="10492" max="10492" width="4.33203125" style="11" customWidth="1"/>
    <col min="10493" max="10493" width="51.6640625" style="11" customWidth="1"/>
    <col min="10494" max="10494" width="8.33203125" style="11" customWidth="1"/>
    <col min="10495" max="10495" width="6.109375" style="11" customWidth="1"/>
    <col min="10496" max="10496" width="8.5546875" style="11" customWidth="1"/>
    <col min="10497" max="10497" width="12.44140625" style="11" customWidth="1"/>
    <col min="10498" max="10498" width="9.109375" style="11"/>
    <col min="10499" max="10499" width="10.6640625" style="11" customWidth="1"/>
    <col min="10500" max="10747" width="9.109375" style="11"/>
    <col min="10748" max="10748" width="4.33203125" style="11" customWidth="1"/>
    <col min="10749" max="10749" width="51.6640625" style="11" customWidth="1"/>
    <col min="10750" max="10750" width="8.33203125" style="11" customWidth="1"/>
    <col min="10751" max="10751" width="6.109375" style="11" customWidth="1"/>
    <col min="10752" max="10752" width="8.5546875" style="11" customWidth="1"/>
    <col min="10753" max="10753" width="12.44140625" style="11" customWidth="1"/>
    <col min="10754" max="10754" width="9.109375" style="11"/>
    <col min="10755" max="10755" width="10.6640625" style="11" customWidth="1"/>
    <col min="10756" max="11003" width="9.109375" style="11"/>
    <col min="11004" max="11004" width="4.33203125" style="11" customWidth="1"/>
    <col min="11005" max="11005" width="51.6640625" style="11" customWidth="1"/>
    <col min="11006" max="11006" width="8.33203125" style="11" customWidth="1"/>
    <col min="11007" max="11007" width="6.109375" style="11" customWidth="1"/>
    <col min="11008" max="11008" width="8.5546875" style="11" customWidth="1"/>
    <col min="11009" max="11009" width="12.44140625" style="11" customWidth="1"/>
    <col min="11010" max="11010" width="9.109375" style="11"/>
    <col min="11011" max="11011" width="10.6640625" style="11" customWidth="1"/>
    <col min="11012" max="11259" width="9.109375" style="11"/>
    <col min="11260" max="11260" width="4.33203125" style="11" customWidth="1"/>
    <col min="11261" max="11261" width="51.6640625" style="11" customWidth="1"/>
    <col min="11262" max="11262" width="8.33203125" style="11" customWidth="1"/>
    <col min="11263" max="11263" width="6.109375" style="11" customWidth="1"/>
    <col min="11264" max="11264" width="8.5546875" style="11" customWidth="1"/>
    <col min="11265" max="11265" width="12.44140625" style="11" customWidth="1"/>
    <col min="11266" max="11266" width="9.109375" style="11"/>
    <col min="11267" max="11267" width="10.6640625" style="11" customWidth="1"/>
    <col min="11268" max="11515" width="9.109375" style="11"/>
    <col min="11516" max="11516" width="4.33203125" style="11" customWidth="1"/>
    <col min="11517" max="11517" width="51.6640625" style="11" customWidth="1"/>
    <col min="11518" max="11518" width="8.33203125" style="11" customWidth="1"/>
    <col min="11519" max="11519" width="6.109375" style="11" customWidth="1"/>
    <col min="11520" max="11520" width="8.5546875" style="11" customWidth="1"/>
    <col min="11521" max="11521" width="12.44140625" style="11" customWidth="1"/>
    <col min="11522" max="11522" width="9.109375" style="11"/>
    <col min="11523" max="11523" width="10.6640625" style="11" customWidth="1"/>
    <col min="11524" max="11771" width="9.109375" style="11"/>
    <col min="11772" max="11772" width="4.33203125" style="11" customWidth="1"/>
    <col min="11773" max="11773" width="51.6640625" style="11" customWidth="1"/>
    <col min="11774" max="11774" width="8.33203125" style="11" customWidth="1"/>
    <col min="11775" max="11775" width="6.109375" style="11" customWidth="1"/>
    <col min="11776" max="11776" width="8.5546875" style="11" customWidth="1"/>
    <col min="11777" max="11777" width="12.44140625" style="11" customWidth="1"/>
    <col min="11778" max="11778" width="9.109375" style="11"/>
    <col min="11779" max="11779" width="10.6640625" style="11" customWidth="1"/>
    <col min="11780" max="12027" width="9.109375" style="11"/>
    <col min="12028" max="12028" width="4.33203125" style="11" customWidth="1"/>
    <col min="12029" max="12029" width="51.6640625" style="11" customWidth="1"/>
    <col min="12030" max="12030" width="8.33203125" style="11" customWidth="1"/>
    <col min="12031" max="12031" width="6.109375" style="11" customWidth="1"/>
    <col min="12032" max="12032" width="8.5546875" style="11" customWidth="1"/>
    <col min="12033" max="12033" width="12.44140625" style="11" customWidth="1"/>
    <col min="12034" max="12034" width="9.109375" style="11"/>
    <col min="12035" max="12035" width="10.6640625" style="11" customWidth="1"/>
    <col min="12036" max="12283" width="9.109375" style="11"/>
    <col min="12284" max="12284" width="4.33203125" style="11" customWidth="1"/>
    <col min="12285" max="12285" width="51.6640625" style="11" customWidth="1"/>
    <col min="12286" max="12286" width="8.33203125" style="11" customWidth="1"/>
    <col min="12287" max="12287" width="6.109375" style="11" customWidth="1"/>
    <col min="12288" max="12288" width="8.5546875" style="11" customWidth="1"/>
    <col min="12289" max="12289" width="12.44140625" style="11" customWidth="1"/>
    <col min="12290" max="12290" width="9.109375" style="11"/>
    <col min="12291" max="12291" width="10.6640625" style="11" customWidth="1"/>
    <col min="12292" max="12539" width="9.109375" style="11"/>
    <col min="12540" max="12540" width="4.33203125" style="11" customWidth="1"/>
    <col min="12541" max="12541" width="51.6640625" style="11" customWidth="1"/>
    <col min="12542" max="12542" width="8.33203125" style="11" customWidth="1"/>
    <col min="12543" max="12543" width="6.109375" style="11" customWidth="1"/>
    <col min="12544" max="12544" width="8.5546875" style="11" customWidth="1"/>
    <col min="12545" max="12545" width="12.44140625" style="11" customWidth="1"/>
    <col min="12546" max="12546" width="9.109375" style="11"/>
    <col min="12547" max="12547" width="10.6640625" style="11" customWidth="1"/>
    <col min="12548" max="12795" width="9.109375" style="11"/>
    <col min="12796" max="12796" width="4.33203125" style="11" customWidth="1"/>
    <col min="12797" max="12797" width="51.6640625" style="11" customWidth="1"/>
    <col min="12798" max="12798" width="8.33203125" style="11" customWidth="1"/>
    <col min="12799" max="12799" width="6.109375" style="11" customWidth="1"/>
    <col min="12800" max="12800" width="8.5546875" style="11" customWidth="1"/>
    <col min="12801" max="12801" width="12.44140625" style="11" customWidth="1"/>
    <col min="12802" max="12802" width="9.109375" style="11"/>
    <col min="12803" max="12803" width="10.6640625" style="11" customWidth="1"/>
    <col min="12804" max="13051" width="9.109375" style="11"/>
    <col min="13052" max="13052" width="4.33203125" style="11" customWidth="1"/>
    <col min="13053" max="13053" width="51.6640625" style="11" customWidth="1"/>
    <col min="13054" max="13054" width="8.33203125" style="11" customWidth="1"/>
    <col min="13055" max="13055" width="6.109375" style="11" customWidth="1"/>
    <col min="13056" max="13056" width="8.5546875" style="11" customWidth="1"/>
    <col min="13057" max="13057" width="12.44140625" style="11" customWidth="1"/>
    <col min="13058" max="13058" width="9.109375" style="11"/>
    <col min="13059" max="13059" width="10.6640625" style="11" customWidth="1"/>
    <col min="13060" max="13307" width="9.109375" style="11"/>
    <col min="13308" max="13308" width="4.33203125" style="11" customWidth="1"/>
    <col min="13309" max="13309" width="51.6640625" style="11" customWidth="1"/>
    <col min="13310" max="13310" width="8.33203125" style="11" customWidth="1"/>
    <col min="13311" max="13311" width="6.109375" style="11" customWidth="1"/>
    <col min="13312" max="13312" width="8.5546875" style="11" customWidth="1"/>
    <col min="13313" max="13313" width="12.44140625" style="11" customWidth="1"/>
    <col min="13314" max="13314" width="9.109375" style="11"/>
    <col min="13315" max="13315" width="10.6640625" style="11" customWidth="1"/>
    <col min="13316" max="13563" width="9.109375" style="11"/>
    <col min="13564" max="13564" width="4.33203125" style="11" customWidth="1"/>
    <col min="13565" max="13565" width="51.6640625" style="11" customWidth="1"/>
    <col min="13566" max="13566" width="8.33203125" style="11" customWidth="1"/>
    <col min="13567" max="13567" width="6.109375" style="11" customWidth="1"/>
    <col min="13568" max="13568" width="8.5546875" style="11" customWidth="1"/>
    <col min="13569" max="13569" width="12.44140625" style="11" customWidth="1"/>
    <col min="13570" max="13570" width="9.109375" style="11"/>
    <col min="13571" max="13571" width="10.6640625" style="11" customWidth="1"/>
    <col min="13572" max="13819" width="9.109375" style="11"/>
    <col min="13820" max="13820" width="4.33203125" style="11" customWidth="1"/>
    <col min="13821" max="13821" width="51.6640625" style="11" customWidth="1"/>
    <col min="13822" max="13822" width="8.33203125" style="11" customWidth="1"/>
    <col min="13823" max="13823" width="6.109375" style="11" customWidth="1"/>
    <col min="13824" max="13824" width="8.5546875" style="11" customWidth="1"/>
    <col min="13825" max="13825" width="12.44140625" style="11" customWidth="1"/>
    <col min="13826" max="13826" width="9.109375" style="11"/>
    <col min="13827" max="13827" width="10.6640625" style="11" customWidth="1"/>
    <col min="13828" max="14075" width="9.109375" style="11"/>
    <col min="14076" max="14076" width="4.33203125" style="11" customWidth="1"/>
    <col min="14077" max="14077" width="51.6640625" style="11" customWidth="1"/>
    <col min="14078" max="14078" width="8.33203125" style="11" customWidth="1"/>
    <col min="14079" max="14079" width="6.109375" style="11" customWidth="1"/>
    <col min="14080" max="14080" width="8.5546875" style="11" customWidth="1"/>
    <col min="14081" max="14081" width="12.44140625" style="11" customWidth="1"/>
    <col min="14082" max="14082" width="9.109375" style="11"/>
    <col min="14083" max="14083" width="10.6640625" style="11" customWidth="1"/>
    <col min="14084" max="14331" width="9.109375" style="11"/>
    <col min="14332" max="14332" width="4.33203125" style="11" customWidth="1"/>
    <col min="14333" max="14333" width="51.6640625" style="11" customWidth="1"/>
    <col min="14334" max="14334" width="8.33203125" style="11" customWidth="1"/>
    <col min="14335" max="14335" width="6.109375" style="11" customWidth="1"/>
    <col min="14336" max="14336" width="8.5546875" style="11" customWidth="1"/>
    <col min="14337" max="14337" width="12.44140625" style="11" customWidth="1"/>
    <col min="14338" max="14338" width="9.109375" style="11"/>
    <col min="14339" max="14339" width="10.6640625" style="11" customWidth="1"/>
    <col min="14340" max="14587" width="9.109375" style="11"/>
    <col min="14588" max="14588" width="4.33203125" style="11" customWidth="1"/>
    <col min="14589" max="14589" width="51.6640625" style="11" customWidth="1"/>
    <col min="14590" max="14590" width="8.33203125" style="11" customWidth="1"/>
    <col min="14591" max="14591" width="6.109375" style="11" customWidth="1"/>
    <col min="14592" max="14592" width="8.5546875" style="11" customWidth="1"/>
    <col min="14593" max="14593" width="12.44140625" style="11" customWidth="1"/>
    <col min="14594" max="14594" width="9.109375" style="11"/>
    <col min="14595" max="14595" width="10.6640625" style="11" customWidth="1"/>
    <col min="14596" max="14843" width="9.109375" style="11"/>
    <col min="14844" max="14844" width="4.33203125" style="11" customWidth="1"/>
    <col min="14845" max="14845" width="51.6640625" style="11" customWidth="1"/>
    <col min="14846" max="14846" width="8.33203125" style="11" customWidth="1"/>
    <col min="14847" max="14847" width="6.109375" style="11" customWidth="1"/>
    <col min="14848" max="14848" width="8.5546875" style="11" customWidth="1"/>
    <col min="14849" max="14849" width="12.44140625" style="11" customWidth="1"/>
    <col min="14850" max="14850" width="9.109375" style="11"/>
    <col min="14851" max="14851" width="10.6640625" style="11" customWidth="1"/>
    <col min="14852" max="15099" width="9.109375" style="11"/>
    <col min="15100" max="15100" width="4.33203125" style="11" customWidth="1"/>
    <col min="15101" max="15101" width="51.6640625" style="11" customWidth="1"/>
    <col min="15102" max="15102" width="8.33203125" style="11" customWidth="1"/>
    <col min="15103" max="15103" width="6.109375" style="11" customWidth="1"/>
    <col min="15104" max="15104" width="8.5546875" style="11" customWidth="1"/>
    <col min="15105" max="15105" width="12.44140625" style="11" customWidth="1"/>
    <col min="15106" max="15106" width="9.109375" style="11"/>
    <col min="15107" max="15107" width="10.6640625" style="11" customWidth="1"/>
    <col min="15108" max="15355" width="9.109375" style="11"/>
    <col min="15356" max="15356" width="4.33203125" style="11" customWidth="1"/>
    <col min="15357" max="15357" width="51.6640625" style="11" customWidth="1"/>
    <col min="15358" max="15358" width="8.33203125" style="11" customWidth="1"/>
    <col min="15359" max="15359" width="6.109375" style="11" customWidth="1"/>
    <col min="15360" max="15360" width="8.5546875" style="11" customWidth="1"/>
    <col min="15361" max="15361" width="12.44140625" style="11" customWidth="1"/>
    <col min="15362" max="15362" width="9.109375" style="11"/>
    <col min="15363" max="15363" width="10.6640625" style="11" customWidth="1"/>
    <col min="15364" max="15611" width="9.109375" style="11"/>
    <col min="15612" max="15612" width="4.33203125" style="11" customWidth="1"/>
    <col min="15613" max="15613" width="51.6640625" style="11" customWidth="1"/>
    <col min="15614" max="15614" width="8.33203125" style="11" customWidth="1"/>
    <col min="15615" max="15615" width="6.109375" style="11" customWidth="1"/>
    <col min="15616" max="15616" width="8.5546875" style="11" customWidth="1"/>
    <col min="15617" max="15617" width="12.44140625" style="11" customWidth="1"/>
    <col min="15618" max="15618" width="9.109375" style="11"/>
    <col min="15619" max="15619" width="10.6640625" style="11" customWidth="1"/>
    <col min="15620" max="15867" width="9.109375" style="11"/>
    <col min="15868" max="15868" width="4.33203125" style="11" customWidth="1"/>
    <col min="15869" max="15869" width="51.6640625" style="11" customWidth="1"/>
    <col min="15870" max="15870" width="8.33203125" style="11" customWidth="1"/>
    <col min="15871" max="15871" width="6.109375" style="11" customWidth="1"/>
    <col min="15872" max="15872" width="8.5546875" style="11" customWidth="1"/>
    <col min="15873" max="15873" width="12.44140625" style="11" customWidth="1"/>
    <col min="15874" max="15874" width="9.109375" style="11"/>
    <col min="15875" max="15875" width="10.6640625" style="11" customWidth="1"/>
    <col min="15876" max="16123" width="9.109375" style="11"/>
    <col min="16124" max="16124" width="4.33203125" style="11" customWidth="1"/>
    <col min="16125" max="16125" width="51.6640625" style="11" customWidth="1"/>
    <col min="16126" max="16126" width="8.33203125" style="11" customWidth="1"/>
    <col min="16127" max="16127" width="6.109375" style="11" customWidth="1"/>
    <col min="16128" max="16128" width="8.5546875" style="11" customWidth="1"/>
    <col min="16129" max="16129" width="12.44140625" style="11" customWidth="1"/>
    <col min="16130" max="16130" width="9.109375" style="11"/>
    <col min="16131" max="16131" width="10.6640625" style="11" customWidth="1"/>
    <col min="16132" max="16376" width="9.109375" style="11"/>
    <col min="16377" max="16384" width="9.109375" style="11" customWidth="1"/>
  </cols>
  <sheetData>
    <row r="7" spans="1:4">
      <c r="B7" s="265" t="s">
        <v>715</v>
      </c>
    </row>
    <row r="8" spans="1:4">
      <c r="B8" s="265" t="s">
        <v>716</v>
      </c>
    </row>
    <row r="9" spans="1:4">
      <c r="B9" s="264"/>
    </row>
    <row r="10" spans="1:4" ht="18">
      <c r="B10" s="291" t="s">
        <v>128</v>
      </c>
    </row>
    <row r="11" spans="1:4" ht="18">
      <c r="B11" s="291" t="s">
        <v>133</v>
      </c>
    </row>
    <row r="12" spans="1:4" ht="18">
      <c r="B12" s="291" t="s">
        <v>75</v>
      </c>
    </row>
    <row r="13" spans="1:4">
      <c r="B13" s="264" t="s">
        <v>394</v>
      </c>
    </row>
    <row r="14" spans="1:4" ht="18">
      <c r="B14" s="308" t="s">
        <v>697</v>
      </c>
      <c r="C14" s="228"/>
    </row>
    <row r="15" spans="1:4">
      <c r="B15" s="293" t="s">
        <v>587</v>
      </c>
      <c r="C15" s="228"/>
    </row>
    <row r="16" spans="1:4">
      <c r="A16" s="312"/>
      <c r="B16" s="314"/>
      <c r="C16" s="313"/>
      <c r="D16" s="312"/>
    </row>
    <row r="17" spans="1:6">
      <c r="A17" s="317" t="s">
        <v>0</v>
      </c>
      <c r="B17" s="319" t="s">
        <v>20</v>
      </c>
      <c r="C17" s="317" t="s">
        <v>21</v>
      </c>
      <c r="D17" s="317" t="s">
        <v>22</v>
      </c>
    </row>
    <row r="18" spans="1:6">
      <c r="A18" s="317"/>
      <c r="B18" s="319"/>
      <c r="C18" s="317"/>
      <c r="D18" s="317"/>
    </row>
    <row r="19" spans="1:6">
      <c r="A19" s="248"/>
      <c r="B19" s="301"/>
      <c r="C19" s="248"/>
      <c r="D19" s="248"/>
    </row>
    <row r="20" spans="1:6" ht="41.4">
      <c r="A20" s="302">
        <v>1</v>
      </c>
      <c r="B20" s="303" t="s">
        <v>698</v>
      </c>
      <c r="C20" s="304">
        <f>'Det-WHT'!G12</f>
        <v>268</v>
      </c>
      <c r="D20" s="304" t="s">
        <v>9</v>
      </c>
    </row>
    <row r="21" spans="1:6">
      <c r="A21" s="302"/>
      <c r="B21" s="303"/>
      <c r="C21" s="305"/>
      <c r="D21" s="304"/>
    </row>
    <row r="22" spans="1:6" ht="55.2">
      <c r="A22" s="302">
        <f>A20+1</f>
        <v>2</v>
      </c>
      <c r="B22" s="303" t="s">
        <v>699</v>
      </c>
      <c r="C22" s="304">
        <f>'Det-WHT'!G18</f>
        <v>268</v>
      </c>
      <c r="D22" s="304" t="s">
        <v>9</v>
      </c>
    </row>
    <row r="23" spans="1:6">
      <c r="A23" s="302"/>
      <c r="B23" s="303"/>
      <c r="C23" s="305"/>
      <c r="D23" s="305"/>
    </row>
    <row r="24" spans="1:6" ht="41.4">
      <c r="A24" s="302">
        <f>A22+1</f>
        <v>3</v>
      </c>
      <c r="B24" s="303" t="s">
        <v>33</v>
      </c>
      <c r="C24" s="304">
        <f>'Det-WHT'!G26</f>
        <v>11</v>
      </c>
      <c r="D24" s="304" t="s">
        <v>9</v>
      </c>
    </row>
    <row r="25" spans="1:6">
      <c r="A25" s="302"/>
      <c r="B25" s="303"/>
      <c r="C25" s="305"/>
      <c r="D25" s="305"/>
    </row>
    <row r="26" spans="1:6" ht="55.2">
      <c r="A26" s="302">
        <f>A24+1</f>
        <v>4</v>
      </c>
      <c r="B26" s="303" t="s">
        <v>415</v>
      </c>
      <c r="C26" s="304">
        <f>'Det-WHT'!G32</f>
        <v>9</v>
      </c>
      <c r="D26" s="304" t="s">
        <v>9</v>
      </c>
      <c r="F26" s="6"/>
    </row>
    <row r="27" spans="1:6">
      <c r="A27" s="302"/>
      <c r="B27" s="303"/>
      <c r="C27" s="305"/>
      <c r="D27" s="305"/>
    </row>
    <row r="28" spans="1:6" ht="138">
      <c r="A28" s="302"/>
      <c r="B28" s="306" t="s">
        <v>637</v>
      </c>
      <c r="C28" s="305"/>
      <c r="D28" s="304"/>
    </row>
    <row r="29" spans="1:6">
      <c r="A29" s="302">
        <f>A26+1</f>
        <v>5</v>
      </c>
      <c r="B29" s="303" t="s">
        <v>700</v>
      </c>
      <c r="C29" s="304">
        <f>'Det-WHT'!G40</f>
        <v>14</v>
      </c>
      <c r="D29" s="304" t="s">
        <v>9</v>
      </c>
    </row>
    <row r="30" spans="1:6">
      <c r="A30" s="302"/>
      <c r="B30" s="307"/>
      <c r="C30" s="305"/>
      <c r="D30" s="305"/>
    </row>
    <row r="31" spans="1:6">
      <c r="A31" s="302">
        <f>A29+1</f>
        <v>6</v>
      </c>
      <c r="B31" s="303" t="s">
        <v>567</v>
      </c>
      <c r="C31" s="304">
        <f>'Det-WHT'!G47</f>
        <v>7</v>
      </c>
      <c r="D31" s="304" t="s">
        <v>9</v>
      </c>
    </row>
    <row r="32" spans="1:6">
      <c r="A32" s="302"/>
      <c r="B32" s="303"/>
      <c r="C32" s="304"/>
      <c r="D32" s="304"/>
    </row>
    <row r="33" spans="1:4">
      <c r="A33" s="302">
        <f>A31+1</f>
        <v>7</v>
      </c>
      <c r="B33" s="303" t="s">
        <v>701</v>
      </c>
      <c r="C33" s="304">
        <f>'Det-WHT'!G57</f>
        <v>25</v>
      </c>
      <c r="D33" s="304" t="s">
        <v>9</v>
      </c>
    </row>
    <row r="34" spans="1:4">
      <c r="A34" s="305"/>
      <c r="B34" s="303"/>
      <c r="C34" s="305"/>
      <c r="D34" s="304"/>
    </row>
    <row r="35" spans="1:4" ht="27.6">
      <c r="A35" s="302"/>
      <c r="B35" s="306" t="s">
        <v>34</v>
      </c>
      <c r="C35" s="305"/>
      <c r="D35" s="304"/>
    </row>
    <row r="36" spans="1:4">
      <c r="A36" s="302">
        <f>A33+1</f>
        <v>8</v>
      </c>
      <c r="B36" s="301" t="s">
        <v>702</v>
      </c>
      <c r="C36" s="304">
        <f>'Det-WHT'!G66</f>
        <v>10</v>
      </c>
      <c r="D36" s="304" t="s">
        <v>47</v>
      </c>
    </row>
    <row r="37" spans="1:4">
      <c r="A37" s="302"/>
      <c r="B37" s="301"/>
      <c r="C37" s="305"/>
      <c r="D37" s="305"/>
    </row>
    <row r="38" spans="1:4">
      <c r="A38" s="302">
        <f>A36+1</f>
        <v>9</v>
      </c>
      <c r="B38" s="303" t="s">
        <v>55</v>
      </c>
      <c r="C38" s="304">
        <f>'Det-WHT'!G73</f>
        <v>39</v>
      </c>
      <c r="D38" s="304" t="s">
        <v>47</v>
      </c>
    </row>
    <row r="39" spans="1:4">
      <c r="A39" s="305"/>
      <c r="B39" s="303"/>
      <c r="C39" s="305"/>
      <c r="D39" s="304"/>
    </row>
    <row r="40" spans="1:4">
      <c r="A40" s="302">
        <f>A38+1</f>
        <v>10</v>
      </c>
      <c r="B40" s="303" t="s">
        <v>62</v>
      </c>
      <c r="C40" s="304">
        <f>'Det-WHT'!G80</f>
        <v>7</v>
      </c>
      <c r="D40" s="304" t="s">
        <v>47</v>
      </c>
    </row>
    <row r="41" spans="1:4">
      <c r="A41" s="305"/>
      <c r="B41" s="303"/>
      <c r="C41" s="305"/>
      <c r="D41" s="304"/>
    </row>
    <row r="42" spans="1:4">
      <c r="A42" s="302">
        <f>A40+1</f>
        <v>11</v>
      </c>
      <c r="B42" s="303" t="s">
        <v>703</v>
      </c>
      <c r="C42" s="304">
        <f>'Det-WHT'!G90</f>
        <v>200</v>
      </c>
      <c r="D42" s="304" t="s">
        <v>47</v>
      </c>
    </row>
    <row r="43" spans="1:4">
      <c r="A43" s="305"/>
      <c r="B43" s="303"/>
      <c r="C43" s="305"/>
      <c r="D43" s="304"/>
    </row>
    <row r="44" spans="1:4" ht="69">
      <c r="A44" s="302">
        <f>A42+1</f>
        <v>12</v>
      </c>
      <c r="B44" s="303" t="s">
        <v>937</v>
      </c>
      <c r="C44" s="304">
        <f>'Det-WHT'!G98</f>
        <v>5570</v>
      </c>
      <c r="D44" s="304" t="s">
        <v>704</v>
      </c>
    </row>
    <row r="45" spans="1:4">
      <c r="A45" s="302"/>
      <c r="B45" s="303"/>
      <c r="C45" s="305"/>
      <c r="D45" s="304"/>
    </row>
    <row r="46" spans="1:4" ht="69">
      <c r="A46" s="302">
        <f>A44+1</f>
        <v>13</v>
      </c>
      <c r="B46" s="303" t="s">
        <v>705</v>
      </c>
      <c r="C46" s="304">
        <f>'Det-WHT'!G111</f>
        <v>159</v>
      </c>
      <c r="D46" s="304" t="s">
        <v>17</v>
      </c>
    </row>
    <row r="47" spans="1:4">
      <c r="A47" s="302"/>
      <c r="B47" s="303"/>
      <c r="C47" s="305"/>
      <c r="D47" s="304"/>
    </row>
    <row r="48" spans="1:4" ht="55.2">
      <c r="A48" s="302">
        <f>A43+1</f>
        <v>1</v>
      </c>
      <c r="B48" s="303" t="s">
        <v>759</v>
      </c>
      <c r="C48" s="315"/>
      <c r="D48" s="315"/>
    </row>
    <row r="49" spans="1:4">
      <c r="A49" s="302"/>
      <c r="B49" s="303" t="s">
        <v>760</v>
      </c>
      <c r="C49" s="315">
        <f>'Det-WHT'!G114</f>
        <v>45</v>
      </c>
      <c r="D49" s="315" t="s">
        <v>19</v>
      </c>
    </row>
    <row r="50" spans="1:4">
      <c r="A50" s="302"/>
      <c r="B50" s="303"/>
      <c r="C50" s="315"/>
      <c r="D50" s="315"/>
    </row>
    <row r="51" spans="1:4" ht="27.6">
      <c r="A51" s="302">
        <f>A48+1</f>
        <v>2</v>
      </c>
      <c r="B51" s="306" t="s">
        <v>706</v>
      </c>
      <c r="C51" s="304">
        <f>'Det-WHT'!G121</f>
        <v>8</v>
      </c>
      <c r="D51" s="304" t="s">
        <v>17</v>
      </c>
    </row>
    <row r="52" spans="1:4">
      <c r="A52" s="302"/>
      <c r="B52" s="307"/>
      <c r="C52" s="305"/>
      <c r="D52" s="304"/>
    </row>
    <row r="53" spans="1:4" ht="55.2">
      <c r="A53" s="302">
        <f>A51+1</f>
        <v>3</v>
      </c>
      <c r="B53" s="303" t="s">
        <v>798</v>
      </c>
      <c r="C53" s="304">
        <f>'Det-WHT'!G123</f>
        <v>16</v>
      </c>
      <c r="D53" s="304" t="s">
        <v>49</v>
      </c>
    </row>
    <row r="54" spans="1:4">
      <c r="A54" s="305"/>
      <c r="B54" s="303"/>
      <c r="C54" s="305"/>
      <c r="D54" s="304"/>
    </row>
    <row r="55" spans="1:4" ht="41.4">
      <c r="A55" s="302">
        <f>A53+1</f>
        <v>4</v>
      </c>
      <c r="B55" s="303" t="s">
        <v>707</v>
      </c>
      <c r="C55" s="304">
        <f>'Det-WHT'!G125</f>
        <v>2</v>
      </c>
      <c r="D55" s="304" t="s">
        <v>288</v>
      </c>
    </row>
    <row r="56" spans="1:4">
      <c r="A56" s="305"/>
      <c r="B56" s="303"/>
      <c r="C56" s="305"/>
      <c r="D56" s="304"/>
    </row>
    <row r="57" spans="1:4" ht="27.6">
      <c r="A57" s="302">
        <f>A55+1</f>
        <v>5</v>
      </c>
      <c r="B57" s="303" t="s">
        <v>708</v>
      </c>
      <c r="C57" s="315">
        <f>'Det-WHT'!G127</f>
        <v>36</v>
      </c>
      <c r="D57" s="304" t="s">
        <v>288</v>
      </c>
    </row>
    <row r="58" spans="1:4">
      <c r="A58" s="305"/>
      <c r="B58" s="303"/>
      <c r="C58" s="305"/>
      <c r="D58" s="304"/>
    </row>
    <row r="59" spans="1:4" ht="41.4">
      <c r="A59" s="302">
        <f>A57+1</f>
        <v>6</v>
      </c>
      <c r="B59" s="303" t="s">
        <v>709</v>
      </c>
      <c r="C59" s="304">
        <f>'Det-WHT'!G131</f>
        <v>15</v>
      </c>
      <c r="D59" s="304" t="s">
        <v>401</v>
      </c>
    </row>
    <row r="60" spans="1:4">
      <c r="A60" s="302"/>
      <c r="B60" s="303"/>
      <c r="C60" s="305"/>
      <c r="D60" s="304"/>
    </row>
    <row r="61" spans="1:4" ht="27.6">
      <c r="A61" s="302">
        <f>A59+1</f>
        <v>7</v>
      </c>
      <c r="B61" s="316" t="s">
        <v>802</v>
      </c>
      <c r="C61" s="304">
        <f>'Det-WHT'!G133</f>
        <v>6</v>
      </c>
      <c r="D61" s="304" t="s">
        <v>288</v>
      </c>
    </row>
    <row r="62" spans="1:4" s="9" customFormat="1">
      <c r="A62" s="229"/>
      <c r="B62" s="266"/>
      <c r="C62" s="208"/>
      <c r="D62" s="208"/>
    </row>
    <row r="63" spans="1:4" s="9" customFormat="1" ht="12" customHeight="1">
      <c r="A63" s="229"/>
      <c r="B63" s="269"/>
      <c r="C63" s="213"/>
      <c r="D63" s="213"/>
    </row>
    <row r="64" spans="1:4" s="9" customFormat="1" hidden="1">
      <c r="A64" s="214"/>
      <c r="B64" s="270" t="s">
        <v>23</v>
      </c>
      <c r="C64" s="214"/>
      <c r="D64" s="214"/>
    </row>
    <row r="65" spans="1:4" s="9" customFormat="1" hidden="1">
      <c r="A65" s="208"/>
      <c r="B65" s="267"/>
      <c r="C65" s="208"/>
      <c r="D65" s="208"/>
    </row>
    <row r="66" spans="1:4" hidden="1">
      <c r="A66" s="208">
        <v>1</v>
      </c>
      <c r="B66" s="271" t="s">
        <v>588</v>
      </c>
    </row>
    <row r="67" spans="1:4" hidden="1"/>
    <row r="68" spans="1:4" hidden="1">
      <c r="A68" s="214"/>
      <c r="B68" s="270" t="s">
        <v>23</v>
      </c>
      <c r="C68" s="214"/>
      <c r="D68" s="215"/>
    </row>
    <row r="69" spans="1:4" hidden="1">
      <c r="B69" s="267"/>
    </row>
    <row r="70" spans="1:4" hidden="1">
      <c r="A70" s="208">
        <v>2</v>
      </c>
      <c r="B70" s="266" t="s">
        <v>404</v>
      </c>
    </row>
    <row r="71" spans="1:4" hidden="1"/>
    <row r="72" spans="1:4" hidden="1">
      <c r="A72" s="216"/>
      <c r="B72" s="272" t="s">
        <v>405</v>
      </c>
      <c r="C72" s="216"/>
      <c r="D72" s="216"/>
    </row>
    <row r="73" spans="1:4" hidden="1">
      <c r="A73" s="216"/>
      <c r="B73" s="273"/>
      <c r="C73" s="216"/>
      <c r="D73" s="216"/>
    </row>
    <row r="74" spans="1:4" hidden="1">
      <c r="A74" s="214"/>
      <c r="B74" s="270" t="s">
        <v>406</v>
      </c>
      <c r="C74" s="214"/>
      <c r="D74" s="214"/>
    </row>
    <row r="75" spans="1:4" ht="14.4" hidden="1" thickBot="1">
      <c r="A75" s="217"/>
      <c r="B75" s="274" t="s">
        <v>407</v>
      </c>
      <c r="C75" s="217"/>
      <c r="D75" s="217"/>
    </row>
    <row r="76" spans="1:4" hidden="1"/>
    <row r="77" spans="1:4" hidden="1"/>
  </sheetData>
  <mergeCells count="4">
    <mergeCell ref="A17:A18"/>
    <mergeCell ref="B17:B18"/>
    <mergeCell ref="C17:C18"/>
    <mergeCell ref="D17:D1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3"/>
  <sheetViews>
    <sheetView topLeftCell="A85" workbookViewId="0">
      <selection activeCell="B137" sqref="B137"/>
    </sheetView>
  </sheetViews>
  <sheetFormatPr defaultRowHeight="13.8"/>
  <cols>
    <col min="1" max="1" width="5.44140625" style="124" customWidth="1"/>
    <col min="2" max="2" width="36" style="124" customWidth="1"/>
    <col min="3" max="3" width="5.88671875" style="124" customWidth="1"/>
    <col min="4" max="4" width="8.109375" style="124" customWidth="1"/>
    <col min="5" max="5" width="7.88671875" style="124" customWidth="1"/>
    <col min="6" max="6" width="8.33203125" style="124" customWidth="1"/>
    <col min="7" max="7" width="8.88671875" style="125" customWidth="1"/>
    <col min="8" max="8" width="7.44140625" style="125" customWidth="1"/>
    <col min="9" max="256" width="9.109375" style="124"/>
    <col min="257" max="257" width="5.44140625" style="124" customWidth="1"/>
    <col min="258" max="258" width="36" style="124" customWidth="1"/>
    <col min="259" max="259" width="5.88671875" style="124" customWidth="1"/>
    <col min="260" max="260" width="8.109375" style="124" customWidth="1"/>
    <col min="261" max="261" width="7.88671875" style="124" customWidth="1"/>
    <col min="262" max="262" width="8.33203125" style="124" customWidth="1"/>
    <col min="263" max="263" width="8.88671875" style="124" customWidth="1"/>
    <col min="264" max="264" width="7.44140625" style="124" customWidth="1"/>
    <col min="265" max="512" width="9.109375" style="124"/>
    <col min="513" max="513" width="5.44140625" style="124" customWidth="1"/>
    <col min="514" max="514" width="36" style="124" customWidth="1"/>
    <col min="515" max="515" width="5.88671875" style="124" customWidth="1"/>
    <col min="516" max="516" width="8.109375" style="124" customWidth="1"/>
    <col min="517" max="517" width="7.88671875" style="124" customWidth="1"/>
    <col min="518" max="518" width="8.33203125" style="124" customWidth="1"/>
    <col min="519" max="519" width="8.88671875" style="124" customWidth="1"/>
    <col min="520" max="520" width="7.44140625" style="124" customWidth="1"/>
    <col min="521" max="768" width="9.109375" style="124"/>
    <col min="769" max="769" width="5.44140625" style="124" customWidth="1"/>
    <col min="770" max="770" width="36" style="124" customWidth="1"/>
    <col min="771" max="771" width="5.88671875" style="124" customWidth="1"/>
    <col min="772" max="772" width="8.109375" style="124" customWidth="1"/>
    <col min="773" max="773" width="7.88671875" style="124" customWidth="1"/>
    <col min="774" max="774" width="8.33203125" style="124" customWidth="1"/>
    <col min="775" max="775" width="8.88671875" style="124" customWidth="1"/>
    <col min="776" max="776" width="7.44140625" style="124" customWidth="1"/>
    <col min="777" max="1024" width="9.109375" style="124"/>
    <col min="1025" max="1025" width="5.44140625" style="124" customWidth="1"/>
    <col min="1026" max="1026" width="36" style="124" customWidth="1"/>
    <col min="1027" max="1027" width="5.88671875" style="124" customWidth="1"/>
    <col min="1028" max="1028" width="8.109375" style="124" customWidth="1"/>
    <col min="1029" max="1029" width="7.88671875" style="124" customWidth="1"/>
    <col min="1030" max="1030" width="8.33203125" style="124" customWidth="1"/>
    <col min="1031" max="1031" width="8.88671875" style="124" customWidth="1"/>
    <col min="1032" max="1032" width="7.44140625" style="124" customWidth="1"/>
    <col min="1033" max="1280" width="9.109375" style="124"/>
    <col min="1281" max="1281" width="5.44140625" style="124" customWidth="1"/>
    <col min="1282" max="1282" width="36" style="124" customWidth="1"/>
    <col min="1283" max="1283" width="5.88671875" style="124" customWidth="1"/>
    <col min="1284" max="1284" width="8.109375" style="124" customWidth="1"/>
    <col min="1285" max="1285" width="7.88671875" style="124" customWidth="1"/>
    <col min="1286" max="1286" width="8.33203125" style="124" customWidth="1"/>
    <col min="1287" max="1287" width="8.88671875" style="124" customWidth="1"/>
    <col min="1288" max="1288" width="7.44140625" style="124" customWidth="1"/>
    <col min="1289" max="1536" width="9.109375" style="124"/>
    <col min="1537" max="1537" width="5.44140625" style="124" customWidth="1"/>
    <col min="1538" max="1538" width="36" style="124" customWidth="1"/>
    <col min="1539" max="1539" width="5.88671875" style="124" customWidth="1"/>
    <col min="1540" max="1540" width="8.109375" style="124" customWidth="1"/>
    <col min="1541" max="1541" width="7.88671875" style="124" customWidth="1"/>
    <col min="1542" max="1542" width="8.33203125" style="124" customWidth="1"/>
    <col min="1543" max="1543" width="8.88671875" style="124" customWidth="1"/>
    <col min="1544" max="1544" width="7.44140625" style="124" customWidth="1"/>
    <col min="1545" max="1792" width="9.109375" style="124"/>
    <col min="1793" max="1793" width="5.44140625" style="124" customWidth="1"/>
    <col min="1794" max="1794" width="36" style="124" customWidth="1"/>
    <col min="1795" max="1795" width="5.88671875" style="124" customWidth="1"/>
    <col min="1796" max="1796" width="8.109375" style="124" customWidth="1"/>
    <col min="1797" max="1797" width="7.88671875" style="124" customWidth="1"/>
    <col min="1798" max="1798" width="8.33203125" style="124" customWidth="1"/>
    <col min="1799" max="1799" width="8.88671875" style="124" customWidth="1"/>
    <col min="1800" max="1800" width="7.44140625" style="124" customWidth="1"/>
    <col min="1801" max="2048" width="9.109375" style="124"/>
    <col min="2049" max="2049" width="5.44140625" style="124" customWidth="1"/>
    <col min="2050" max="2050" width="36" style="124" customWidth="1"/>
    <col min="2051" max="2051" width="5.88671875" style="124" customWidth="1"/>
    <col min="2052" max="2052" width="8.109375" style="124" customWidth="1"/>
    <col min="2053" max="2053" width="7.88671875" style="124" customWidth="1"/>
    <col min="2054" max="2054" width="8.33203125" style="124" customWidth="1"/>
    <col min="2055" max="2055" width="8.88671875" style="124" customWidth="1"/>
    <col min="2056" max="2056" width="7.44140625" style="124" customWidth="1"/>
    <col min="2057" max="2304" width="9.109375" style="124"/>
    <col min="2305" max="2305" width="5.44140625" style="124" customWidth="1"/>
    <col min="2306" max="2306" width="36" style="124" customWidth="1"/>
    <col min="2307" max="2307" width="5.88671875" style="124" customWidth="1"/>
    <col min="2308" max="2308" width="8.109375" style="124" customWidth="1"/>
    <col min="2309" max="2309" width="7.88671875" style="124" customWidth="1"/>
    <col min="2310" max="2310" width="8.33203125" style="124" customWidth="1"/>
    <col min="2311" max="2311" width="8.88671875" style="124" customWidth="1"/>
    <col min="2312" max="2312" width="7.44140625" style="124" customWidth="1"/>
    <col min="2313" max="2560" width="9.109375" style="124"/>
    <col min="2561" max="2561" width="5.44140625" style="124" customWidth="1"/>
    <col min="2562" max="2562" width="36" style="124" customWidth="1"/>
    <col min="2563" max="2563" width="5.88671875" style="124" customWidth="1"/>
    <col min="2564" max="2564" width="8.109375" style="124" customWidth="1"/>
    <col min="2565" max="2565" width="7.88671875" style="124" customWidth="1"/>
    <col min="2566" max="2566" width="8.33203125" style="124" customWidth="1"/>
    <col min="2567" max="2567" width="8.88671875" style="124" customWidth="1"/>
    <col min="2568" max="2568" width="7.44140625" style="124" customWidth="1"/>
    <col min="2569" max="2816" width="9.109375" style="124"/>
    <col min="2817" max="2817" width="5.44140625" style="124" customWidth="1"/>
    <col min="2818" max="2818" width="36" style="124" customWidth="1"/>
    <col min="2819" max="2819" width="5.88671875" style="124" customWidth="1"/>
    <col min="2820" max="2820" width="8.109375" style="124" customWidth="1"/>
    <col min="2821" max="2821" width="7.88671875" style="124" customWidth="1"/>
    <col min="2822" max="2822" width="8.33203125" style="124" customWidth="1"/>
    <col min="2823" max="2823" width="8.88671875" style="124" customWidth="1"/>
    <col min="2824" max="2824" width="7.44140625" style="124" customWidth="1"/>
    <col min="2825" max="3072" width="9.109375" style="124"/>
    <col min="3073" max="3073" width="5.44140625" style="124" customWidth="1"/>
    <col min="3074" max="3074" width="36" style="124" customWidth="1"/>
    <col min="3075" max="3075" width="5.88671875" style="124" customWidth="1"/>
    <col min="3076" max="3076" width="8.109375" style="124" customWidth="1"/>
    <col min="3077" max="3077" width="7.88671875" style="124" customWidth="1"/>
    <col min="3078" max="3078" width="8.33203125" style="124" customWidth="1"/>
    <col min="3079" max="3079" width="8.88671875" style="124" customWidth="1"/>
    <col min="3080" max="3080" width="7.44140625" style="124" customWidth="1"/>
    <col min="3081" max="3328" width="9.109375" style="124"/>
    <col min="3329" max="3329" width="5.44140625" style="124" customWidth="1"/>
    <col min="3330" max="3330" width="36" style="124" customWidth="1"/>
    <col min="3331" max="3331" width="5.88671875" style="124" customWidth="1"/>
    <col min="3332" max="3332" width="8.109375" style="124" customWidth="1"/>
    <col min="3333" max="3333" width="7.88671875" style="124" customWidth="1"/>
    <col min="3334" max="3334" width="8.33203125" style="124" customWidth="1"/>
    <col min="3335" max="3335" width="8.88671875" style="124" customWidth="1"/>
    <col min="3336" max="3336" width="7.44140625" style="124" customWidth="1"/>
    <col min="3337" max="3584" width="9.109375" style="124"/>
    <col min="3585" max="3585" width="5.44140625" style="124" customWidth="1"/>
    <col min="3586" max="3586" width="36" style="124" customWidth="1"/>
    <col min="3587" max="3587" width="5.88671875" style="124" customWidth="1"/>
    <col min="3588" max="3588" width="8.109375" style="124" customWidth="1"/>
    <col min="3589" max="3589" width="7.88671875" style="124" customWidth="1"/>
    <col min="3590" max="3590" width="8.33203125" style="124" customWidth="1"/>
    <col min="3591" max="3591" width="8.88671875" style="124" customWidth="1"/>
    <col min="3592" max="3592" width="7.44140625" style="124" customWidth="1"/>
    <col min="3593" max="3840" width="9.109375" style="124"/>
    <col min="3841" max="3841" width="5.44140625" style="124" customWidth="1"/>
    <col min="3842" max="3842" width="36" style="124" customWidth="1"/>
    <col min="3843" max="3843" width="5.88671875" style="124" customWidth="1"/>
    <col min="3844" max="3844" width="8.109375" style="124" customWidth="1"/>
    <col min="3845" max="3845" width="7.88671875" style="124" customWidth="1"/>
    <col min="3846" max="3846" width="8.33203125" style="124" customWidth="1"/>
    <col min="3847" max="3847" width="8.88671875" style="124" customWidth="1"/>
    <col min="3848" max="3848" width="7.44140625" style="124" customWidth="1"/>
    <col min="3849" max="4096" width="9.109375" style="124"/>
    <col min="4097" max="4097" width="5.44140625" style="124" customWidth="1"/>
    <col min="4098" max="4098" width="36" style="124" customWidth="1"/>
    <col min="4099" max="4099" width="5.88671875" style="124" customWidth="1"/>
    <col min="4100" max="4100" width="8.109375" style="124" customWidth="1"/>
    <col min="4101" max="4101" width="7.88671875" style="124" customWidth="1"/>
    <col min="4102" max="4102" width="8.33203125" style="124" customWidth="1"/>
    <col min="4103" max="4103" width="8.88671875" style="124" customWidth="1"/>
    <col min="4104" max="4104" width="7.44140625" style="124" customWidth="1"/>
    <col min="4105" max="4352" width="9.109375" style="124"/>
    <col min="4353" max="4353" width="5.44140625" style="124" customWidth="1"/>
    <col min="4354" max="4354" width="36" style="124" customWidth="1"/>
    <col min="4355" max="4355" width="5.88671875" style="124" customWidth="1"/>
    <col min="4356" max="4356" width="8.109375" style="124" customWidth="1"/>
    <col min="4357" max="4357" width="7.88671875" style="124" customWidth="1"/>
    <col min="4358" max="4358" width="8.33203125" style="124" customWidth="1"/>
    <col min="4359" max="4359" width="8.88671875" style="124" customWidth="1"/>
    <col min="4360" max="4360" width="7.44140625" style="124" customWidth="1"/>
    <col min="4361" max="4608" width="9.109375" style="124"/>
    <col min="4609" max="4609" width="5.44140625" style="124" customWidth="1"/>
    <col min="4610" max="4610" width="36" style="124" customWidth="1"/>
    <col min="4611" max="4611" width="5.88671875" style="124" customWidth="1"/>
    <col min="4612" max="4612" width="8.109375" style="124" customWidth="1"/>
    <col min="4613" max="4613" width="7.88671875" style="124" customWidth="1"/>
    <col min="4614" max="4614" width="8.33203125" style="124" customWidth="1"/>
    <col min="4615" max="4615" width="8.88671875" style="124" customWidth="1"/>
    <col min="4616" max="4616" width="7.44140625" style="124" customWidth="1"/>
    <col min="4617" max="4864" width="9.109375" style="124"/>
    <col min="4865" max="4865" width="5.44140625" style="124" customWidth="1"/>
    <col min="4866" max="4866" width="36" style="124" customWidth="1"/>
    <col min="4867" max="4867" width="5.88671875" style="124" customWidth="1"/>
    <col min="4868" max="4868" width="8.109375" style="124" customWidth="1"/>
    <col min="4869" max="4869" width="7.88671875" style="124" customWidth="1"/>
    <col min="4870" max="4870" width="8.33203125" style="124" customWidth="1"/>
    <col min="4871" max="4871" width="8.88671875" style="124" customWidth="1"/>
    <col min="4872" max="4872" width="7.44140625" style="124" customWidth="1"/>
    <col min="4873" max="5120" width="9.109375" style="124"/>
    <col min="5121" max="5121" width="5.44140625" style="124" customWidth="1"/>
    <col min="5122" max="5122" width="36" style="124" customWidth="1"/>
    <col min="5123" max="5123" width="5.88671875" style="124" customWidth="1"/>
    <col min="5124" max="5124" width="8.109375" style="124" customWidth="1"/>
    <col min="5125" max="5125" width="7.88671875" style="124" customWidth="1"/>
    <col min="5126" max="5126" width="8.33203125" style="124" customWidth="1"/>
    <col min="5127" max="5127" width="8.88671875" style="124" customWidth="1"/>
    <col min="5128" max="5128" width="7.44140625" style="124" customWidth="1"/>
    <col min="5129" max="5376" width="9.109375" style="124"/>
    <col min="5377" max="5377" width="5.44140625" style="124" customWidth="1"/>
    <col min="5378" max="5378" width="36" style="124" customWidth="1"/>
    <col min="5379" max="5379" width="5.88671875" style="124" customWidth="1"/>
    <col min="5380" max="5380" width="8.109375" style="124" customWidth="1"/>
    <col min="5381" max="5381" width="7.88671875" style="124" customWidth="1"/>
    <col min="5382" max="5382" width="8.33203125" style="124" customWidth="1"/>
    <col min="5383" max="5383" width="8.88671875" style="124" customWidth="1"/>
    <col min="5384" max="5384" width="7.44140625" style="124" customWidth="1"/>
    <col min="5385" max="5632" width="9.109375" style="124"/>
    <col min="5633" max="5633" width="5.44140625" style="124" customWidth="1"/>
    <col min="5634" max="5634" width="36" style="124" customWidth="1"/>
    <col min="5635" max="5635" width="5.88671875" style="124" customWidth="1"/>
    <col min="5636" max="5636" width="8.109375" style="124" customWidth="1"/>
    <col min="5637" max="5637" width="7.88671875" style="124" customWidth="1"/>
    <col min="5638" max="5638" width="8.33203125" style="124" customWidth="1"/>
    <col min="5639" max="5639" width="8.88671875" style="124" customWidth="1"/>
    <col min="5640" max="5640" width="7.44140625" style="124" customWidth="1"/>
    <col min="5641" max="5888" width="9.109375" style="124"/>
    <col min="5889" max="5889" width="5.44140625" style="124" customWidth="1"/>
    <col min="5890" max="5890" width="36" style="124" customWidth="1"/>
    <col min="5891" max="5891" width="5.88671875" style="124" customWidth="1"/>
    <col min="5892" max="5892" width="8.109375" style="124" customWidth="1"/>
    <col min="5893" max="5893" width="7.88671875" style="124" customWidth="1"/>
    <col min="5894" max="5894" width="8.33203125" style="124" customWidth="1"/>
    <col min="5895" max="5895" width="8.88671875" style="124" customWidth="1"/>
    <col min="5896" max="5896" width="7.44140625" style="124" customWidth="1"/>
    <col min="5897" max="6144" width="9.109375" style="124"/>
    <col min="6145" max="6145" width="5.44140625" style="124" customWidth="1"/>
    <col min="6146" max="6146" width="36" style="124" customWidth="1"/>
    <col min="6147" max="6147" width="5.88671875" style="124" customWidth="1"/>
    <col min="6148" max="6148" width="8.109375" style="124" customWidth="1"/>
    <col min="6149" max="6149" width="7.88671875" style="124" customWidth="1"/>
    <col min="6150" max="6150" width="8.33203125" style="124" customWidth="1"/>
    <col min="6151" max="6151" width="8.88671875" style="124" customWidth="1"/>
    <col min="6152" max="6152" width="7.44140625" style="124" customWidth="1"/>
    <col min="6153" max="6400" width="9.109375" style="124"/>
    <col min="6401" max="6401" width="5.44140625" style="124" customWidth="1"/>
    <col min="6402" max="6402" width="36" style="124" customWidth="1"/>
    <col min="6403" max="6403" width="5.88671875" style="124" customWidth="1"/>
    <col min="6404" max="6404" width="8.109375" style="124" customWidth="1"/>
    <col min="6405" max="6405" width="7.88671875" style="124" customWidth="1"/>
    <col min="6406" max="6406" width="8.33203125" style="124" customWidth="1"/>
    <col min="6407" max="6407" width="8.88671875" style="124" customWidth="1"/>
    <col min="6408" max="6408" width="7.44140625" style="124" customWidth="1"/>
    <col min="6409" max="6656" width="9.109375" style="124"/>
    <col min="6657" max="6657" width="5.44140625" style="124" customWidth="1"/>
    <col min="6658" max="6658" width="36" style="124" customWidth="1"/>
    <col min="6659" max="6659" width="5.88671875" style="124" customWidth="1"/>
    <col min="6660" max="6660" width="8.109375" style="124" customWidth="1"/>
    <col min="6661" max="6661" width="7.88671875" style="124" customWidth="1"/>
    <col min="6662" max="6662" width="8.33203125" style="124" customWidth="1"/>
    <col min="6663" max="6663" width="8.88671875" style="124" customWidth="1"/>
    <col min="6664" max="6664" width="7.44140625" style="124" customWidth="1"/>
    <col min="6665" max="6912" width="9.109375" style="124"/>
    <col min="6913" max="6913" width="5.44140625" style="124" customWidth="1"/>
    <col min="6914" max="6914" width="36" style="124" customWidth="1"/>
    <col min="6915" max="6915" width="5.88671875" style="124" customWidth="1"/>
    <col min="6916" max="6916" width="8.109375" style="124" customWidth="1"/>
    <col min="6917" max="6917" width="7.88671875" style="124" customWidth="1"/>
    <col min="6918" max="6918" width="8.33203125" style="124" customWidth="1"/>
    <col min="6919" max="6919" width="8.88671875" style="124" customWidth="1"/>
    <col min="6920" max="6920" width="7.44140625" style="124" customWidth="1"/>
    <col min="6921" max="7168" width="9.109375" style="124"/>
    <col min="7169" max="7169" width="5.44140625" style="124" customWidth="1"/>
    <col min="7170" max="7170" width="36" style="124" customWidth="1"/>
    <col min="7171" max="7171" width="5.88671875" style="124" customWidth="1"/>
    <col min="7172" max="7172" width="8.109375" style="124" customWidth="1"/>
    <col min="7173" max="7173" width="7.88671875" style="124" customWidth="1"/>
    <col min="7174" max="7174" width="8.33203125" style="124" customWidth="1"/>
    <col min="7175" max="7175" width="8.88671875" style="124" customWidth="1"/>
    <col min="7176" max="7176" width="7.44140625" style="124" customWidth="1"/>
    <col min="7177" max="7424" width="9.109375" style="124"/>
    <col min="7425" max="7425" width="5.44140625" style="124" customWidth="1"/>
    <col min="7426" max="7426" width="36" style="124" customWidth="1"/>
    <col min="7427" max="7427" width="5.88671875" style="124" customWidth="1"/>
    <col min="7428" max="7428" width="8.109375" style="124" customWidth="1"/>
    <col min="7429" max="7429" width="7.88671875" style="124" customWidth="1"/>
    <col min="7430" max="7430" width="8.33203125" style="124" customWidth="1"/>
    <col min="7431" max="7431" width="8.88671875" style="124" customWidth="1"/>
    <col min="7432" max="7432" width="7.44140625" style="124" customWidth="1"/>
    <col min="7433" max="7680" width="9.109375" style="124"/>
    <col min="7681" max="7681" width="5.44140625" style="124" customWidth="1"/>
    <col min="7682" max="7682" width="36" style="124" customWidth="1"/>
    <col min="7683" max="7683" width="5.88671875" style="124" customWidth="1"/>
    <col min="7684" max="7684" width="8.109375" style="124" customWidth="1"/>
    <col min="7685" max="7685" width="7.88671875" style="124" customWidth="1"/>
    <col min="7686" max="7686" width="8.33203125" style="124" customWidth="1"/>
    <col min="7687" max="7687" width="8.88671875" style="124" customWidth="1"/>
    <col min="7688" max="7688" width="7.44140625" style="124" customWidth="1"/>
    <col min="7689" max="7936" width="9.109375" style="124"/>
    <col min="7937" max="7937" width="5.44140625" style="124" customWidth="1"/>
    <col min="7938" max="7938" width="36" style="124" customWidth="1"/>
    <col min="7939" max="7939" width="5.88671875" style="124" customWidth="1"/>
    <col min="7940" max="7940" width="8.109375" style="124" customWidth="1"/>
    <col min="7941" max="7941" width="7.88671875" style="124" customWidth="1"/>
    <col min="7942" max="7942" width="8.33203125" style="124" customWidth="1"/>
    <col min="7943" max="7943" width="8.88671875" style="124" customWidth="1"/>
    <col min="7944" max="7944" width="7.44140625" style="124" customWidth="1"/>
    <col min="7945" max="8192" width="9.109375" style="124"/>
    <col min="8193" max="8193" width="5.44140625" style="124" customWidth="1"/>
    <col min="8194" max="8194" width="36" style="124" customWidth="1"/>
    <col min="8195" max="8195" width="5.88671875" style="124" customWidth="1"/>
    <col min="8196" max="8196" width="8.109375" style="124" customWidth="1"/>
    <col min="8197" max="8197" width="7.88671875" style="124" customWidth="1"/>
    <col min="8198" max="8198" width="8.33203125" style="124" customWidth="1"/>
    <col min="8199" max="8199" width="8.88671875" style="124" customWidth="1"/>
    <col min="8200" max="8200" width="7.44140625" style="124" customWidth="1"/>
    <col min="8201" max="8448" width="9.109375" style="124"/>
    <col min="8449" max="8449" width="5.44140625" style="124" customWidth="1"/>
    <col min="8450" max="8450" width="36" style="124" customWidth="1"/>
    <col min="8451" max="8451" width="5.88671875" style="124" customWidth="1"/>
    <col min="8452" max="8452" width="8.109375" style="124" customWidth="1"/>
    <col min="8453" max="8453" width="7.88671875" style="124" customWidth="1"/>
    <col min="8454" max="8454" width="8.33203125" style="124" customWidth="1"/>
    <col min="8455" max="8455" width="8.88671875" style="124" customWidth="1"/>
    <col min="8456" max="8456" width="7.44140625" style="124" customWidth="1"/>
    <col min="8457" max="8704" width="9.109375" style="124"/>
    <col min="8705" max="8705" width="5.44140625" style="124" customWidth="1"/>
    <col min="8706" max="8706" width="36" style="124" customWidth="1"/>
    <col min="8707" max="8707" width="5.88671875" style="124" customWidth="1"/>
    <col min="8708" max="8708" width="8.109375" style="124" customWidth="1"/>
    <col min="8709" max="8709" width="7.88671875" style="124" customWidth="1"/>
    <col min="8710" max="8710" width="8.33203125" style="124" customWidth="1"/>
    <col min="8711" max="8711" width="8.88671875" style="124" customWidth="1"/>
    <col min="8712" max="8712" width="7.44140625" style="124" customWidth="1"/>
    <col min="8713" max="8960" width="9.109375" style="124"/>
    <col min="8961" max="8961" width="5.44140625" style="124" customWidth="1"/>
    <col min="8962" max="8962" width="36" style="124" customWidth="1"/>
    <col min="8963" max="8963" width="5.88671875" style="124" customWidth="1"/>
    <col min="8964" max="8964" width="8.109375" style="124" customWidth="1"/>
    <col min="8965" max="8965" width="7.88671875" style="124" customWidth="1"/>
    <col min="8966" max="8966" width="8.33203125" style="124" customWidth="1"/>
    <col min="8967" max="8967" width="8.88671875" style="124" customWidth="1"/>
    <col min="8968" max="8968" width="7.44140625" style="124" customWidth="1"/>
    <col min="8969" max="9216" width="9.109375" style="124"/>
    <col min="9217" max="9217" width="5.44140625" style="124" customWidth="1"/>
    <col min="9218" max="9218" width="36" style="124" customWidth="1"/>
    <col min="9219" max="9219" width="5.88671875" style="124" customWidth="1"/>
    <col min="9220" max="9220" width="8.109375" style="124" customWidth="1"/>
    <col min="9221" max="9221" width="7.88671875" style="124" customWidth="1"/>
    <col min="9222" max="9222" width="8.33203125" style="124" customWidth="1"/>
    <col min="9223" max="9223" width="8.88671875" style="124" customWidth="1"/>
    <col min="9224" max="9224" width="7.44140625" style="124" customWidth="1"/>
    <col min="9225" max="9472" width="9.109375" style="124"/>
    <col min="9473" max="9473" width="5.44140625" style="124" customWidth="1"/>
    <col min="9474" max="9474" width="36" style="124" customWidth="1"/>
    <col min="9475" max="9475" width="5.88671875" style="124" customWidth="1"/>
    <col min="9476" max="9476" width="8.109375" style="124" customWidth="1"/>
    <col min="9477" max="9477" width="7.88671875" style="124" customWidth="1"/>
    <col min="9478" max="9478" width="8.33203125" style="124" customWidth="1"/>
    <col min="9479" max="9479" width="8.88671875" style="124" customWidth="1"/>
    <col min="9480" max="9480" width="7.44140625" style="124" customWidth="1"/>
    <col min="9481" max="9728" width="9.109375" style="124"/>
    <col min="9729" max="9729" width="5.44140625" style="124" customWidth="1"/>
    <col min="9730" max="9730" width="36" style="124" customWidth="1"/>
    <col min="9731" max="9731" width="5.88671875" style="124" customWidth="1"/>
    <col min="9732" max="9732" width="8.109375" style="124" customWidth="1"/>
    <col min="9733" max="9733" width="7.88671875" style="124" customWidth="1"/>
    <col min="9734" max="9734" width="8.33203125" style="124" customWidth="1"/>
    <col min="9735" max="9735" width="8.88671875" style="124" customWidth="1"/>
    <col min="9736" max="9736" width="7.44140625" style="124" customWidth="1"/>
    <col min="9737" max="9984" width="9.109375" style="124"/>
    <col min="9985" max="9985" width="5.44140625" style="124" customWidth="1"/>
    <col min="9986" max="9986" width="36" style="124" customWidth="1"/>
    <col min="9987" max="9987" width="5.88671875" style="124" customWidth="1"/>
    <col min="9988" max="9988" width="8.109375" style="124" customWidth="1"/>
    <col min="9989" max="9989" width="7.88671875" style="124" customWidth="1"/>
    <col min="9990" max="9990" width="8.33203125" style="124" customWidth="1"/>
    <col min="9991" max="9991" width="8.88671875" style="124" customWidth="1"/>
    <col min="9992" max="9992" width="7.44140625" style="124" customWidth="1"/>
    <col min="9993" max="10240" width="9.109375" style="124"/>
    <col min="10241" max="10241" width="5.44140625" style="124" customWidth="1"/>
    <col min="10242" max="10242" width="36" style="124" customWidth="1"/>
    <col min="10243" max="10243" width="5.88671875" style="124" customWidth="1"/>
    <col min="10244" max="10244" width="8.109375" style="124" customWidth="1"/>
    <col min="10245" max="10245" width="7.88671875" style="124" customWidth="1"/>
    <col min="10246" max="10246" width="8.33203125" style="124" customWidth="1"/>
    <col min="10247" max="10247" width="8.88671875" style="124" customWidth="1"/>
    <col min="10248" max="10248" width="7.44140625" style="124" customWidth="1"/>
    <col min="10249" max="10496" width="9.109375" style="124"/>
    <col min="10497" max="10497" width="5.44140625" style="124" customWidth="1"/>
    <col min="10498" max="10498" width="36" style="124" customWidth="1"/>
    <col min="10499" max="10499" width="5.88671875" style="124" customWidth="1"/>
    <col min="10500" max="10500" width="8.109375" style="124" customWidth="1"/>
    <col min="10501" max="10501" width="7.88671875" style="124" customWidth="1"/>
    <col min="10502" max="10502" width="8.33203125" style="124" customWidth="1"/>
    <col min="10503" max="10503" width="8.88671875" style="124" customWidth="1"/>
    <col min="10504" max="10504" width="7.44140625" style="124" customWidth="1"/>
    <col min="10505" max="10752" width="9.109375" style="124"/>
    <col min="10753" max="10753" width="5.44140625" style="124" customWidth="1"/>
    <col min="10754" max="10754" width="36" style="124" customWidth="1"/>
    <col min="10755" max="10755" width="5.88671875" style="124" customWidth="1"/>
    <col min="10756" max="10756" width="8.109375" style="124" customWidth="1"/>
    <col min="10757" max="10757" width="7.88671875" style="124" customWidth="1"/>
    <col min="10758" max="10758" width="8.33203125" style="124" customWidth="1"/>
    <col min="10759" max="10759" width="8.88671875" style="124" customWidth="1"/>
    <col min="10760" max="10760" width="7.44140625" style="124" customWidth="1"/>
    <col min="10761" max="11008" width="9.109375" style="124"/>
    <col min="11009" max="11009" width="5.44140625" style="124" customWidth="1"/>
    <col min="11010" max="11010" width="36" style="124" customWidth="1"/>
    <col min="11011" max="11011" width="5.88671875" style="124" customWidth="1"/>
    <col min="11012" max="11012" width="8.109375" style="124" customWidth="1"/>
    <col min="11013" max="11013" width="7.88671875" style="124" customWidth="1"/>
    <col min="11014" max="11014" width="8.33203125" style="124" customWidth="1"/>
    <col min="11015" max="11015" width="8.88671875" style="124" customWidth="1"/>
    <col min="11016" max="11016" width="7.44140625" style="124" customWidth="1"/>
    <col min="11017" max="11264" width="9.109375" style="124"/>
    <col min="11265" max="11265" width="5.44140625" style="124" customWidth="1"/>
    <col min="11266" max="11266" width="36" style="124" customWidth="1"/>
    <col min="11267" max="11267" width="5.88671875" style="124" customWidth="1"/>
    <col min="11268" max="11268" width="8.109375" style="124" customWidth="1"/>
    <col min="11269" max="11269" width="7.88671875" style="124" customWidth="1"/>
    <col min="11270" max="11270" width="8.33203125" style="124" customWidth="1"/>
    <col min="11271" max="11271" width="8.88671875" style="124" customWidth="1"/>
    <col min="11272" max="11272" width="7.44140625" style="124" customWidth="1"/>
    <col min="11273" max="11520" width="9.109375" style="124"/>
    <col min="11521" max="11521" width="5.44140625" style="124" customWidth="1"/>
    <col min="11522" max="11522" width="36" style="124" customWidth="1"/>
    <col min="11523" max="11523" width="5.88671875" style="124" customWidth="1"/>
    <col min="11524" max="11524" width="8.109375" style="124" customWidth="1"/>
    <col min="11525" max="11525" width="7.88671875" style="124" customWidth="1"/>
    <col min="11526" max="11526" width="8.33203125" style="124" customWidth="1"/>
    <col min="11527" max="11527" width="8.88671875" style="124" customWidth="1"/>
    <col min="11528" max="11528" width="7.44140625" style="124" customWidth="1"/>
    <col min="11529" max="11776" width="9.109375" style="124"/>
    <col min="11777" max="11777" width="5.44140625" style="124" customWidth="1"/>
    <col min="11778" max="11778" width="36" style="124" customWidth="1"/>
    <col min="11779" max="11779" width="5.88671875" style="124" customWidth="1"/>
    <col min="11780" max="11780" width="8.109375" style="124" customWidth="1"/>
    <col min="11781" max="11781" width="7.88671875" style="124" customWidth="1"/>
    <col min="11782" max="11782" width="8.33203125" style="124" customWidth="1"/>
    <col min="11783" max="11783" width="8.88671875" style="124" customWidth="1"/>
    <col min="11784" max="11784" width="7.44140625" style="124" customWidth="1"/>
    <col min="11785" max="12032" width="9.109375" style="124"/>
    <col min="12033" max="12033" width="5.44140625" style="124" customWidth="1"/>
    <col min="12034" max="12034" width="36" style="124" customWidth="1"/>
    <col min="12035" max="12035" width="5.88671875" style="124" customWidth="1"/>
    <col min="12036" max="12036" width="8.109375" style="124" customWidth="1"/>
    <col min="12037" max="12037" width="7.88671875" style="124" customWidth="1"/>
    <col min="12038" max="12038" width="8.33203125" style="124" customWidth="1"/>
    <col min="12039" max="12039" width="8.88671875" style="124" customWidth="1"/>
    <col min="12040" max="12040" width="7.44140625" style="124" customWidth="1"/>
    <col min="12041" max="12288" width="9.109375" style="124"/>
    <col min="12289" max="12289" width="5.44140625" style="124" customWidth="1"/>
    <col min="12290" max="12290" width="36" style="124" customWidth="1"/>
    <col min="12291" max="12291" width="5.88671875" style="124" customWidth="1"/>
    <col min="12292" max="12292" width="8.109375" style="124" customWidth="1"/>
    <col min="12293" max="12293" width="7.88671875" style="124" customWidth="1"/>
    <col min="12294" max="12294" width="8.33203125" style="124" customWidth="1"/>
    <col min="12295" max="12295" width="8.88671875" style="124" customWidth="1"/>
    <col min="12296" max="12296" width="7.44140625" style="124" customWidth="1"/>
    <col min="12297" max="12544" width="9.109375" style="124"/>
    <col min="12545" max="12545" width="5.44140625" style="124" customWidth="1"/>
    <col min="12546" max="12546" width="36" style="124" customWidth="1"/>
    <col min="12547" max="12547" width="5.88671875" style="124" customWidth="1"/>
    <col min="12548" max="12548" width="8.109375" style="124" customWidth="1"/>
    <col min="12549" max="12549" width="7.88671875" style="124" customWidth="1"/>
    <col min="12550" max="12550" width="8.33203125" style="124" customWidth="1"/>
    <col min="12551" max="12551" width="8.88671875" style="124" customWidth="1"/>
    <col min="12552" max="12552" width="7.44140625" style="124" customWidth="1"/>
    <col min="12553" max="12800" width="9.109375" style="124"/>
    <col min="12801" max="12801" width="5.44140625" style="124" customWidth="1"/>
    <col min="12802" max="12802" width="36" style="124" customWidth="1"/>
    <col min="12803" max="12803" width="5.88671875" style="124" customWidth="1"/>
    <col min="12804" max="12804" width="8.109375" style="124" customWidth="1"/>
    <col min="12805" max="12805" width="7.88671875" style="124" customWidth="1"/>
    <col min="12806" max="12806" width="8.33203125" style="124" customWidth="1"/>
    <col min="12807" max="12807" width="8.88671875" style="124" customWidth="1"/>
    <col min="12808" max="12808" width="7.44140625" style="124" customWidth="1"/>
    <col min="12809" max="13056" width="9.109375" style="124"/>
    <col min="13057" max="13057" width="5.44140625" style="124" customWidth="1"/>
    <col min="13058" max="13058" width="36" style="124" customWidth="1"/>
    <col min="13059" max="13059" width="5.88671875" style="124" customWidth="1"/>
    <col min="13060" max="13060" width="8.109375" style="124" customWidth="1"/>
    <col min="13061" max="13061" width="7.88671875" style="124" customWidth="1"/>
    <col min="13062" max="13062" width="8.33203125" style="124" customWidth="1"/>
    <col min="13063" max="13063" width="8.88671875" style="124" customWidth="1"/>
    <col min="13064" max="13064" width="7.44140625" style="124" customWidth="1"/>
    <col min="13065" max="13312" width="9.109375" style="124"/>
    <col min="13313" max="13313" width="5.44140625" style="124" customWidth="1"/>
    <col min="13314" max="13314" width="36" style="124" customWidth="1"/>
    <col min="13315" max="13315" width="5.88671875" style="124" customWidth="1"/>
    <col min="13316" max="13316" width="8.109375" style="124" customWidth="1"/>
    <col min="13317" max="13317" width="7.88671875" style="124" customWidth="1"/>
    <col min="13318" max="13318" width="8.33203125" style="124" customWidth="1"/>
    <col min="13319" max="13319" width="8.88671875" style="124" customWidth="1"/>
    <col min="13320" max="13320" width="7.44140625" style="124" customWidth="1"/>
    <col min="13321" max="13568" width="9.109375" style="124"/>
    <col min="13569" max="13569" width="5.44140625" style="124" customWidth="1"/>
    <col min="13570" max="13570" width="36" style="124" customWidth="1"/>
    <col min="13571" max="13571" width="5.88671875" style="124" customWidth="1"/>
    <col min="13572" max="13572" width="8.109375" style="124" customWidth="1"/>
    <col min="13573" max="13573" width="7.88671875" style="124" customWidth="1"/>
    <col min="13574" max="13574" width="8.33203125" style="124" customWidth="1"/>
    <col min="13575" max="13575" width="8.88671875" style="124" customWidth="1"/>
    <col min="13576" max="13576" width="7.44140625" style="124" customWidth="1"/>
    <col min="13577" max="13824" width="9.109375" style="124"/>
    <col min="13825" max="13825" width="5.44140625" style="124" customWidth="1"/>
    <col min="13826" max="13826" width="36" style="124" customWidth="1"/>
    <col min="13827" max="13827" width="5.88671875" style="124" customWidth="1"/>
    <col min="13828" max="13828" width="8.109375" style="124" customWidth="1"/>
    <col min="13829" max="13829" width="7.88671875" style="124" customWidth="1"/>
    <col min="13830" max="13830" width="8.33203125" style="124" customWidth="1"/>
    <col min="13831" max="13831" width="8.88671875" style="124" customWidth="1"/>
    <col min="13832" max="13832" width="7.44140625" style="124" customWidth="1"/>
    <col min="13833" max="14080" width="9.109375" style="124"/>
    <col min="14081" max="14081" width="5.44140625" style="124" customWidth="1"/>
    <col min="14082" max="14082" width="36" style="124" customWidth="1"/>
    <col min="14083" max="14083" width="5.88671875" style="124" customWidth="1"/>
    <col min="14084" max="14084" width="8.109375" style="124" customWidth="1"/>
    <col min="14085" max="14085" width="7.88671875" style="124" customWidth="1"/>
    <col min="14086" max="14086" width="8.33203125" style="124" customWidth="1"/>
    <col min="14087" max="14087" width="8.88671875" style="124" customWidth="1"/>
    <col min="14088" max="14088" width="7.44140625" style="124" customWidth="1"/>
    <col min="14089" max="14336" width="9.109375" style="124"/>
    <col min="14337" max="14337" width="5.44140625" style="124" customWidth="1"/>
    <col min="14338" max="14338" width="36" style="124" customWidth="1"/>
    <col min="14339" max="14339" width="5.88671875" style="124" customWidth="1"/>
    <col min="14340" max="14340" width="8.109375" style="124" customWidth="1"/>
    <col min="14341" max="14341" width="7.88671875" style="124" customWidth="1"/>
    <col min="14342" max="14342" width="8.33203125" style="124" customWidth="1"/>
    <col min="14343" max="14343" width="8.88671875" style="124" customWidth="1"/>
    <col min="14344" max="14344" width="7.44140625" style="124" customWidth="1"/>
    <col min="14345" max="14592" width="9.109375" style="124"/>
    <col min="14593" max="14593" width="5.44140625" style="124" customWidth="1"/>
    <col min="14594" max="14594" width="36" style="124" customWidth="1"/>
    <col min="14595" max="14595" width="5.88671875" style="124" customWidth="1"/>
    <col min="14596" max="14596" width="8.109375" style="124" customWidth="1"/>
    <col min="14597" max="14597" width="7.88671875" style="124" customWidth="1"/>
    <col min="14598" max="14598" width="8.33203125" style="124" customWidth="1"/>
    <col min="14599" max="14599" width="8.88671875" style="124" customWidth="1"/>
    <col min="14600" max="14600" width="7.44140625" style="124" customWidth="1"/>
    <col min="14601" max="14848" width="9.109375" style="124"/>
    <col min="14849" max="14849" width="5.44140625" style="124" customWidth="1"/>
    <col min="14850" max="14850" width="36" style="124" customWidth="1"/>
    <col min="14851" max="14851" width="5.88671875" style="124" customWidth="1"/>
    <col min="14852" max="14852" width="8.109375" style="124" customWidth="1"/>
    <col min="14853" max="14853" width="7.88671875" style="124" customWidth="1"/>
    <col min="14854" max="14854" width="8.33203125" style="124" customWidth="1"/>
    <col min="14855" max="14855" width="8.88671875" style="124" customWidth="1"/>
    <col min="14856" max="14856" width="7.44140625" style="124" customWidth="1"/>
    <col min="14857" max="15104" width="9.109375" style="124"/>
    <col min="15105" max="15105" width="5.44140625" style="124" customWidth="1"/>
    <col min="15106" max="15106" width="36" style="124" customWidth="1"/>
    <col min="15107" max="15107" width="5.88671875" style="124" customWidth="1"/>
    <col min="15108" max="15108" width="8.109375" style="124" customWidth="1"/>
    <col min="15109" max="15109" width="7.88671875" style="124" customWidth="1"/>
    <col min="15110" max="15110" width="8.33203125" style="124" customWidth="1"/>
    <col min="15111" max="15111" width="8.88671875" style="124" customWidth="1"/>
    <col min="15112" max="15112" width="7.44140625" style="124" customWidth="1"/>
    <col min="15113" max="15360" width="9.109375" style="124"/>
    <col min="15361" max="15361" width="5.44140625" style="124" customWidth="1"/>
    <col min="15362" max="15362" width="36" style="124" customWidth="1"/>
    <col min="15363" max="15363" width="5.88671875" style="124" customWidth="1"/>
    <col min="15364" max="15364" width="8.109375" style="124" customWidth="1"/>
    <col min="15365" max="15365" width="7.88671875" style="124" customWidth="1"/>
    <col min="15366" max="15366" width="8.33203125" style="124" customWidth="1"/>
    <col min="15367" max="15367" width="8.88671875" style="124" customWidth="1"/>
    <col min="15368" max="15368" width="7.44140625" style="124" customWidth="1"/>
    <col min="15369" max="15616" width="9.109375" style="124"/>
    <col min="15617" max="15617" width="5.44140625" style="124" customWidth="1"/>
    <col min="15618" max="15618" width="36" style="124" customWidth="1"/>
    <col min="15619" max="15619" width="5.88671875" style="124" customWidth="1"/>
    <col min="15620" max="15620" width="8.109375" style="124" customWidth="1"/>
    <col min="15621" max="15621" width="7.88671875" style="124" customWidth="1"/>
    <col min="15622" max="15622" width="8.33203125" style="124" customWidth="1"/>
    <col min="15623" max="15623" width="8.88671875" style="124" customWidth="1"/>
    <col min="15624" max="15624" width="7.44140625" style="124" customWidth="1"/>
    <col min="15625" max="15872" width="9.109375" style="124"/>
    <col min="15873" max="15873" width="5.44140625" style="124" customWidth="1"/>
    <col min="15874" max="15874" width="36" style="124" customWidth="1"/>
    <col min="15875" max="15875" width="5.88671875" style="124" customWidth="1"/>
    <col min="15876" max="15876" width="8.109375" style="124" customWidth="1"/>
    <col min="15877" max="15877" width="7.88671875" style="124" customWidth="1"/>
    <col min="15878" max="15878" width="8.33203125" style="124" customWidth="1"/>
    <col min="15879" max="15879" width="8.88671875" style="124" customWidth="1"/>
    <col min="15880" max="15880" width="7.44140625" style="124" customWidth="1"/>
    <col min="15881" max="16128" width="9.109375" style="124"/>
    <col min="16129" max="16129" width="5.44140625" style="124" customWidth="1"/>
    <col min="16130" max="16130" width="36" style="124" customWidth="1"/>
    <col min="16131" max="16131" width="5.88671875" style="124" customWidth="1"/>
    <col min="16132" max="16132" width="8.109375" style="124" customWidth="1"/>
    <col min="16133" max="16133" width="7.88671875" style="124" customWidth="1"/>
    <col min="16134" max="16134" width="8.33203125" style="124" customWidth="1"/>
    <col min="16135" max="16135" width="8.88671875" style="124" customWidth="1"/>
    <col min="16136" max="16136" width="7.44140625" style="124" customWidth="1"/>
    <col min="16137" max="16384" width="9.109375" style="124"/>
  </cols>
  <sheetData>
    <row r="1" spans="1:10">
      <c r="B1" s="15" t="s">
        <v>669</v>
      </c>
    </row>
    <row r="3" spans="1:10">
      <c r="A3" s="126" t="s">
        <v>670</v>
      </c>
      <c r="B3" s="34" t="s">
        <v>671</v>
      </c>
      <c r="C3" s="127" t="s">
        <v>672</v>
      </c>
      <c r="D3" s="128" t="s">
        <v>673</v>
      </c>
      <c r="E3" s="129"/>
      <c r="F3" s="130"/>
      <c r="G3" s="34" t="s">
        <v>674</v>
      </c>
      <c r="H3" s="127" t="s">
        <v>11</v>
      </c>
    </row>
    <row r="4" spans="1:10">
      <c r="A4" s="131"/>
      <c r="B4" s="28"/>
      <c r="C4" s="132"/>
      <c r="D4" s="28" t="s">
        <v>3</v>
      </c>
      <c r="E4" s="28" t="s">
        <v>4</v>
      </c>
      <c r="F4" s="133" t="s">
        <v>5</v>
      </c>
      <c r="G4" s="28"/>
      <c r="H4" s="134"/>
    </row>
    <row r="5" spans="1:10">
      <c r="A5" s="44"/>
      <c r="B5" s="20" t="s">
        <v>675</v>
      </c>
      <c r="C5" s="1"/>
      <c r="D5" s="1"/>
      <c r="E5" s="1"/>
      <c r="F5" s="1"/>
      <c r="G5" s="46"/>
      <c r="H5" s="46"/>
    </row>
    <row r="6" spans="1:10">
      <c r="A6" s="44"/>
      <c r="B6" s="20"/>
      <c r="C6" s="1"/>
      <c r="D6" s="1"/>
      <c r="E6" s="1"/>
      <c r="F6" s="1"/>
      <c r="G6" s="46"/>
      <c r="H6" s="46"/>
    </row>
    <row r="7" spans="1:10">
      <c r="A7" s="18">
        <v>1</v>
      </c>
      <c r="B7" s="8" t="s">
        <v>676</v>
      </c>
      <c r="C7" s="1"/>
      <c r="D7" s="5"/>
      <c r="E7" s="5"/>
      <c r="F7" s="5"/>
      <c r="G7" s="2"/>
      <c r="H7" s="1"/>
      <c r="I7" s="135"/>
    </row>
    <row r="8" spans="1:10">
      <c r="A8" s="18"/>
      <c r="B8" s="46"/>
      <c r="C8" s="136">
        <v>1</v>
      </c>
      <c r="D8" s="137">
        <v>9.3000000000000007</v>
      </c>
      <c r="E8" s="137">
        <v>5.8</v>
      </c>
      <c r="F8" s="137">
        <v>4.6749999999999998</v>
      </c>
      <c r="G8" s="138">
        <f>C8*D8*E8*F8</f>
        <v>252.1695</v>
      </c>
      <c r="H8" s="136" t="s">
        <v>9</v>
      </c>
      <c r="I8" s="135"/>
    </row>
    <row r="9" spans="1:10">
      <c r="A9" s="18"/>
      <c r="B9" s="46"/>
      <c r="C9" s="136">
        <v>1</v>
      </c>
      <c r="D9" s="137">
        <v>2.35</v>
      </c>
      <c r="E9" s="137">
        <v>2.4500000000000002</v>
      </c>
      <c r="F9" s="137">
        <v>2.6749999999999998</v>
      </c>
      <c r="G9" s="138">
        <f>C9*D9*E9*F9</f>
        <v>15.4013125</v>
      </c>
      <c r="H9" s="136"/>
      <c r="I9" s="135"/>
    </row>
    <row r="10" spans="1:10">
      <c r="A10" s="18"/>
      <c r="B10" s="46"/>
      <c r="C10" s="136"/>
      <c r="D10" s="136"/>
      <c r="E10" s="136"/>
      <c r="F10" s="136"/>
      <c r="G10" s="138"/>
      <c r="H10" s="136"/>
      <c r="I10" s="135"/>
    </row>
    <row r="11" spans="1:10">
      <c r="A11" s="18"/>
      <c r="B11" s="46"/>
      <c r="C11" s="136"/>
      <c r="D11" s="136"/>
      <c r="E11" s="136"/>
      <c r="F11" s="34" t="s">
        <v>11</v>
      </c>
      <c r="G11" s="53">
        <f>SUM(G8:G10)</f>
        <v>267.57081249999999</v>
      </c>
      <c r="H11" s="50" t="s">
        <v>12</v>
      </c>
      <c r="I11" s="135"/>
    </row>
    <row r="12" spans="1:10">
      <c r="A12" s="18"/>
      <c r="B12" s="46"/>
      <c r="C12" s="136"/>
      <c r="D12" s="136"/>
      <c r="E12" s="136"/>
      <c r="F12" s="58" t="s">
        <v>13</v>
      </c>
      <c r="G12" s="27">
        <f>ROUNDUP(G11,0)</f>
        <v>268</v>
      </c>
      <c r="H12" s="28" t="s">
        <v>9</v>
      </c>
      <c r="I12" s="135"/>
    </row>
    <row r="13" spans="1:10">
      <c r="A13" s="18"/>
      <c r="B13" s="46"/>
      <c r="C13" s="136"/>
      <c r="D13" s="136"/>
      <c r="E13" s="136"/>
      <c r="F13" s="5"/>
      <c r="G13" s="33"/>
      <c r="H13" s="24"/>
      <c r="I13" s="135"/>
    </row>
    <row r="14" spans="1:10">
      <c r="B14" s="8" t="s">
        <v>14</v>
      </c>
      <c r="C14" s="46"/>
      <c r="D14" s="46"/>
      <c r="E14" s="46"/>
      <c r="F14" s="46"/>
      <c r="G14" s="1"/>
      <c r="H14" s="1"/>
      <c r="I14" s="135"/>
    </row>
    <row r="15" spans="1:10">
      <c r="A15" s="29"/>
      <c r="B15" s="46" t="s">
        <v>677</v>
      </c>
      <c r="C15" s="1"/>
      <c r="D15" s="1"/>
      <c r="E15" s="1"/>
      <c r="F15" s="1"/>
      <c r="G15" s="2">
        <f>G11*0.2</f>
        <v>53.514162499999998</v>
      </c>
      <c r="H15" s="136" t="s">
        <v>9</v>
      </c>
      <c r="I15" s="135"/>
    </row>
    <row r="16" spans="1:10">
      <c r="A16" s="29"/>
      <c r="B16" s="44"/>
      <c r="C16" s="46"/>
      <c r="D16" s="46"/>
      <c r="E16" s="46"/>
      <c r="F16" s="75" t="s">
        <v>13</v>
      </c>
      <c r="G16" s="27">
        <f>ROUNDUP(G15,0)</f>
        <v>54</v>
      </c>
      <c r="H16" s="28" t="s">
        <v>9</v>
      </c>
      <c r="I16" s="135"/>
      <c r="J16" s="135"/>
    </row>
    <row r="17" spans="1:9">
      <c r="A17" s="139"/>
      <c r="B17" s="140"/>
      <c r="C17" s="141"/>
      <c r="D17" s="142"/>
      <c r="E17" s="142"/>
      <c r="F17" s="142"/>
      <c r="G17" s="143"/>
      <c r="H17" s="141"/>
      <c r="I17" s="135"/>
    </row>
    <row r="18" spans="1:9">
      <c r="A18" s="29">
        <v>2</v>
      </c>
      <c r="B18" s="8" t="s">
        <v>678</v>
      </c>
      <c r="C18" s="1"/>
      <c r="D18" s="1"/>
      <c r="E18" s="1"/>
      <c r="F18" s="56" t="s">
        <v>13</v>
      </c>
      <c r="G18" s="27">
        <f>G12</f>
        <v>268</v>
      </c>
      <c r="H18" s="28" t="s">
        <v>9</v>
      </c>
      <c r="I18" s="4"/>
    </row>
    <row r="19" spans="1:9">
      <c r="A19" s="18"/>
      <c r="B19" s="8"/>
      <c r="C19" s="1"/>
      <c r="D19" s="1"/>
      <c r="E19" s="1"/>
      <c r="F19" s="144"/>
      <c r="G19" s="2"/>
      <c r="H19" s="1"/>
      <c r="I19" s="135"/>
    </row>
    <row r="20" spans="1:9">
      <c r="A20" s="18"/>
      <c r="B20" s="8"/>
      <c r="C20" s="1"/>
      <c r="D20" s="1"/>
      <c r="E20" s="1"/>
      <c r="F20" s="144"/>
      <c r="G20" s="2"/>
      <c r="H20" s="1"/>
      <c r="I20" s="135"/>
    </row>
    <row r="21" spans="1:9">
      <c r="A21" s="18"/>
      <c r="B21" s="8"/>
      <c r="C21" s="1"/>
      <c r="D21" s="1"/>
      <c r="E21" s="1"/>
      <c r="F21" s="144"/>
      <c r="G21" s="2"/>
      <c r="H21" s="1"/>
      <c r="I21" s="135"/>
    </row>
    <row r="22" spans="1:9">
      <c r="A22" s="18">
        <f>A18+1</f>
        <v>3</v>
      </c>
      <c r="B22" s="8" t="s">
        <v>679</v>
      </c>
      <c r="C22" s="136">
        <v>1</v>
      </c>
      <c r="D22" s="137">
        <v>9</v>
      </c>
      <c r="E22" s="137">
        <v>5.5</v>
      </c>
      <c r="F22" s="137">
        <v>0.2</v>
      </c>
      <c r="G22" s="138">
        <f>C22*D22*E22*F22</f>
        <v>9.9</v>
      </c>
      <c r="H22" s="136" t="s">
        <v>9</v>
      </c>
      <c r="I22" s="135"/>
    </row>
    <row r="23" spans="1:9">
      <c r="A23" s="18"/>
      <c r="B23" s="8"/>
      <c r="C23" s="136">
        <v>1</v>
      </c>
      <c r="D23" s="137">
        <v>2.2000000000000002</v>
      </c>
      <c r="E23" s="137">
        <v>2.15</v>
      </c>
      <c r="F23" s="137">
        <v>0.2</v>
      </c>
      <c r="G23" s="138">
        <f>C23*D23*E23*F23</f>
        <v>0.94600000000000017</v>
      </c>
      <c r="H23" s="1" t="s">
        <v>10</v>
      </c>
      <c r="I23" s="135"/>
    </row>
    <row r="24" spans="1:9">
      <c r="A24" s="18"/>
      <c r="C24" s="136"/>
      <c r="D24" s="136"/>
      <c r="E24" s="136"/>
      <c r="F24" s="136"/>
      <c r="G24" s="138"/>
      <c r="H24" s="136"/>
      <c r="I24" s="135"/>
    </row>
    <row r="25" spans="1:9">
      <c r="A25" s="18"/>
      <c r="B25" s="8"/>
      <c r="C25" s="136"/>
      <c r="D25" s="136"/>
      <c r="E25" s="136"/>
      <c r="F25" s="34" t="s">
        <v>11</v>
      </c>
      <c r="G25" s="53">
        <f>SUM(G22:G24)</f>
        <v>10.846</v>
      </c>
      <c r="H25" s="50" t="s">
        <v>12</v>
      </c>
      <c r="I25" s="135"/>
    </row>
    <row r="26" spans="1:9">
      <c r="A26" s="18"/>
      <c r="B26" s="8"/>
      <c r="C26" s="136"/>
      <c r="D26" s="136"/>
      <c r="E26" s="136"/>
      <c r="F26" s="58" t="s">
        <v>13</v>
      </c>
      <c r="G26" s="27">
        <f>ROUNDUP(G25,0)</f>
        <v>11</v>
      </c>
      <c r="H26" s="28" t="s">
        <v>9</v>
      </c>
      <c r="I26" s="135"/>
    </row>
    <row r="27" spans="1:9">
      <c r="A27" s="18"/>
      <c r="B27" s="8"/>
      <c r="C27" s="1"/>
      <c r="D27" s="1"/>
      <c r="E27" s="1"/>
      <c r="F27" s="144"/>
      <c r="G27" s="2"/>
      <c r="H27" s="1"/>
      <c r="I27" s="135"/>
    </row>
    <row r="28" spans="1:9">
      <c r="A28" s="18">
        <f>A22+1</f>
        <v>4</v>
      </c>
      <c r="B28" s="8" t="s">
        <v>680</v>
      </c>
      <c r="C28" s="136">
        <v>1</v>
      </c>
      <c r="D28" s="137">
        <v>9</v>
      </c>
      <c r="E28" s="137">
        <v>5.5</v>
      </c>
      <c r="F28" s="137">
        <v>0.15</v>
      </c>
      <c r="G28" s="138">
        <f>C28*D28*E28*F28</f>
        <v>7.4249999999999998</v>
      </c>
      <c r="H28" s="136" t="s">
        <v>9</v>
      </c>
      <c r="I28" s="135"/>
    </row>
    <row r="29" spans="1:9">
      <c r="A29" s="18"/>
      <c r="B29" s="8"/>
      <c r="C29" s="136">
        <v>1</v>
      </c>
      <c r="D29" s="137">
        <v>2.2000000000000002</v>
      </c>
      <c r="E29" s="137">
        <v>2.15</v>
      </c>
      <c r="F29" s="137">
        <v>0.15</v>
      </c>
      <c r="G29" s="138">
        <f>C29*D29*E29*F29</f>
        <v>0.70950000000000002</v>
      </c>
      <c r="H29" s="1" t="s">
        <v>10</v>
      </c>
      <c r="I29" s="135"/>
    </row>
    <row r="30" spans="1:9">
      <c r="A30" s="18"/>
      <c r="C30" s="136"/>
      <c r="D30" s="136"/>
      <c r="E30" s="136"/>
      <c r="F30" s="136"/>
      <c r="G30" s="138"/>
      <c r="H30" s="136"/>
      <c r="I30" s="135"/>
    </row>
    <row r="31" spans="1:9">
      <c r="A31" s="18"/>
      <c r="B31" s="8"/>
      <c r="C31" s="136"/>
      <c r="D31" s="136"/>
      <c r="E31" s="136"/>
      <c r="F31" s="34" t="s">
        <v>11</v>
      </c>
      <c r="G31" s="53">
        <f>SUM(G28:G30)</f>
        <v>8.1344999999999992</v>
      </c>
      <c r="H31" s="50" t="s">
        <v>12</v>
      </c>
      <c r="I31" s="135"/>
    </row>
    <row r="32" spans="1:9">
      <c r="A32" s="18"/>
      <c r="B32" s="8"/>
      <c r="C32" s="136"/>
      <c r="D32" s="136"/>
      <c r="E32" s="136"/>
      <c r="F32" s="58" t="s">
        <v>13</v>
      </c>
      <c r="G32" s="27">
        <f>ROUNDUP(G31,0)</f>
        <v>9</v>
      </c>
      <c r="H32" s="28" t="s">
        <v>9</v>
      </c>
      <c r="I32" s="135"/>
    </row>
    <row r="33" spans="1:9">
      <c r="A33" s="18"/>
      <c r="B33" s="8"/>
      <c r="C33" s="1"/>
      <c r="D33" s="5"/>
      <c r="E33" s="5"/>
      <c r="F33" s="46"/>
      <c r="G33" s="33"/>
      <c r="H33" s="24"/>
      <c r="I33" s="135"/>
    </row>
    <row r="34" spans="1:9">
      <c r="A34" s="18"/>
      <c r="B34" s="52" t="s">
        <v>681</v>
      </c>
      <c r="C34" s="1"/>
      <c r="D34" s="5"/>
      <c r="E34" s="5"/>
      <c r="F34" s="46"/>
      <c r="G34" s="33"/>
      <c r="H34" s="24"/>
      <c r="I34" s="135"/>
    </row>
    <row r="35" spans="1:9">
      <c r="A35" s="18">
        <f>A28+1</f>
        <v>5</v>
      </c>
      <c r="B35" s="13" t="s">
        <v>682</v>
      </c>
      <c r="C35" s="125"/>
      <c r="D35" s="125"/>
      <c r="E35" s="125"/>
      <c r="F35" s="125"/>
      <c r="G35" s="124"/>
      <c r="H35" s="124"/>
      <c r="I35" s="135"/>
    </row>
    <row r="36" spans="1:9">
      <c r="A36" s="18"/>
      <c r="B36" s="8"/>
      <c r="C36" s="136">
        <v>1</v>
      </c>
      <c r="D36" s="137">
        <v>8.6</v>
      </c>
      <c r="E36" s="137">
        <v>5.0999999999999996</v>
      </c>
      <c r="F36" s="137">
        <v>0.3</v>
      </c>
      <c r="G36" s="138">
        <f>C36*D36*E36*F36</f>
        <v>13.157999999999998</v>
      </c>
      <c r="H36" s="136" t="s">
        <v>9</v>
      </c>
      <c r="I36" s="135"/>
    </row>
    <row r="37" spans="1:9">
      <c r="A37" s="18"/>
      <c r="B37" s="8"/>
      <c r="C37" s="136">
        <v>1</v>
      </c>
      <c r="D37" s="137">
        <v>2.0499999999999998</v>
      </c>
      <c r="E37" s="137">
        <v>1.85</v>
      </c>
      <c r="F37" s="137">
        <v>0.2</v>
      </c>
      <c r="G37" s="138">
        <f>C37*D37*E37*F37</f>
        <v>0.75850000000000006</v>
      </c>
      <c r="H37" s="136" t="s">
        <v>10</v>
      </c>
      <c r="I37" s="135"/>
    </row>
    <row r="38" spans="1:9">
      <c r="A38" s="18"/>
      <c r="B38" s="46"/>
      <c r="C38" s="136"/>
      <c r="D38" s="137"/>
      <c r="E38" s="137"/>
      <c r="F38" s="137"/>
      <c r="G38" s="138"/>
      <c r="H38" s="136"/>
      <c r="I38" s="135"/>
    </row>
    <row r="39" spans="1:9">
      <c r="A39" s="18"/>
      <c r="B39" s="46"/>
      <c r="C39" s="136"/>
      <c r="D39" s="136"/>
      <c r="E39" s="136"/>
      <c r="F39" s="34" t="s">
        <v>11</v>
      </c>
      <c r="G39" s="53">
        <f>SUM(G36:G38)</f>
        <v>13.916499999999997</v>
      </c>
      <c r="H39" s="50" t="s">
        <v>12</v>
      </c>
      <c r="I39" s="135"/>
    </row>
    <row r="40" spans="1:9">
      <c r="A40" s="18"/>
      <c r="B40" s="46"/>
      <c r="C40" s="136"/>
      <c r="D40" s="136"/>
      <c r="E40" s="136"/>
      <c r="F40" s="58" t="s">
        <v>13</v>
      </c>
      <c r="G40" s="27">
        <f>ROUNDUP(G39,0)</f>
        <v>14</v>
      </c>
      <c r="H40" s="28" t="s">
        <v>9</v>
      </c>
      <c r="I40" s="135"/>
    </row>
    <row r="41" spans="1:9">
      <c r="A41" s="18"/>
      <c r="B41" s="46"/>
      <c r="C41" s="136"/>
      <c r="D41" s="136"/>
      <c r="E41" s="136"/>
      <c r="F41" s="5"/>
      <c r="G41" s="33"/>
      <c r="H41" s="24"/>
      <c r="I41" s="135"/>
    </row>
    <row r="42" spans="1:9">
      <c r="A42" s="18">
        <f>A35+1</f>
        <v>6</v>
      </c>
      <c r="B42" s="13" t="s">
        <v>683</v>
      </c>
      <c r="C42" s="1"/>
      <c r="D42" s="5"/>
      <c r="E42" s="5"/>
      <c r="F42" s="5"/>
      <c r="G42" s="2"/>
      <c r="H42" s="1"/>
      <c r="I42" s="135"/>
    </row>
    <row r="43" spans="1:9">
      <c r="A43" s="18"/>
      <c r="B43" s="44"/>
      <c r="C43" s="136">
        <v>1</v>
      </c>
      <c r="D43" s="137">
        <v>8</v>
      </c>
      <c r="E43" s="137">
        <v>4.5</v>
      </c>
      <c r="F43" s="137">
        <v>0.17499999999999999</v>
      </c>
      <c r="G43" s="138">
        <f>C43*D43*E43*F43</f>
        <v>6.3</v>
      </c>
      <c r="H43" s="136" t="s">
        <v>9</v>
      </c>
      <c r="I43" s="135"/>
    </row>
    <row r="44" spans="1:9">
      <c r="A44" s="18"/>
      <c r="B44" s="44"/>
      <c r="C44" s="136">
        <v>1</v>
      </c>
      <c r="D44" s="137">
        <v>1.45</v>
      </c>
      <c r="E44" s="137">
        <v>1.85</v>
      </c>
      <c r="F44" s="137">
        <v>0.15</v>
      </c>
      <c r="G44" s="138">
        <f>C44*D44*E44*F44</f>
        <v>0.40237499999999998</v>
      </c>
      <c r="H44" s="136" t="s">
        <v>10</v>
      </c>
      <c r="I44" s="135"/>
    </row>
    <row r="45" spans="1:9">
      <c r="A45" s="18"/>
      <c r="B45" s="44"/>
      <c r="C45" s="136"/>
      <c r="D45" s="136"/>
      <c r="E45" s="136"/>
      <c r="F45" s="136"/>
      <c r="G45" s="138"/>
      <c r="H45" s="136"/>
      <c r="I45" s="135"/>
    </row>
    <row r="46" spans="1:9">
      <c r="A46" s="18"/>
      <c r="B46" s="44"/>
      <c r="C46" s="136"/>
      <c r="D46" s="136"/>
      <c r="E46" s="136"/>
      <c r="F46" s="100" t="s">
        <v>11</v>
      </c>
      <c r="G46" s="53">
        <f>SUM(G43:G45)</f>
        <v>6.702375</v>
      </c>
      <c r="H46" s="50" t="s">
        <v>12</v>
      </c>
      <c r="I46" s="135"/>
    </row>
    <row r="47" spans="1:9">
      <c r="A47" s="18"/>
      <c r="B47" s="44"/>
      <c r="C47" s="136"/>
      <c r="D47" s="136"/>
      <c r="E47" s="136"/>
      <c r="F47" s="56" t="s">
        <v>13</v>
      </c>
      <c r="G47" s="27">
        <f>ROUNDUP(G46,0)</f>
        <v>7</v>
      </c>
      <c r="H47" s="28" t="s">
        <v>9</v>
      </c>
      <c r="I47" s="135"/>
    </row>
    <row r="48" spans="1:9">
      <c r="A48" s="18"/>
      <c r="B48" s="46"/>
      <c r="C48" s="136"/>
      <c r="D48" s="136"/>
      <c r="E48" s="136"/>
      <c r="F48" s="136"/>
      <c r="G48" s="138"/>
      <c r="H48" s="136"/>
      <c r="I48" s="135"/>
    </row>
    <row r="49" spans="1:12">
      <c r="A49" s="18">
        <f>A42+1</f>
        <v>7</v>
      </c>
      <c r="B49" s="13" t="s">
        <v>684</v>
      </c>
      <c r="C49" s="1"/>
      <c r="D49" s="5"/>
      <c r="E49" s="5"/>
      <c r="F49" s="5"/>
      <c r="G49" s="2"/>
      <c r="H49" s="1"/>
      <c r="I49" s="135"/>
    </row>
    <row r="50" spans="1:12">
      <c r="A50" s="18"/>
      <c r="B50" s="17"/>
      <c r="C50" s="136">
        <v>2</v>
      </c>
      <c r="D50" s="137">
        <v>8</v>
      </c>
      <c r="E50" s="137">
        <v>0.25</v>
      </c>
      <c r="F50" s="137">
        <v>3.5750000000000002</v>
      </c>
      <c r="G50" s="138">
        <f>C50*D50*E50*F50</f>
        <v>14.3</v>
      </c>
      <c r="H50" s="136" t="s">
        <v>9</v>
      </c>
      <c r="I50" s="135"/>
    </row>
    <row r="51" spans="1:12">
      <c r="A51" s="18"/>
      <c r="B51" s="8"/>
      <c r="C51" s="136">
        <v>2</v>
      </c>
      <c r="D51" s="137">
        <v>4.5</v>
      </c>
      <c r="E51" s="137">
        <v>0.25</v>
      </c>
      <c r="F51" s="137">
        <v>3.5750000000000002</v>
      </c>
      <c r="G51" s="138">
        <f>C51*D51*E51*F51</f>
        <v>8.0437500000000011</v>
      </c>
      <c r="H51" s="136" t="s">
        <v>10</v>
      </c>
      <c r="I51" s="135"/>
    </row>
    <row r="52" spans="1:12">
      <c r="A52" s="18"/>
      <c r="B52" s="8"/>
      <c r="C52" s="136">
        <v>2</v>
      </c>
      <c r="D52" s="137">
        <v>1.85</v>
      </c>
      <c r="E52" s="137">
        <v>0.2</v>
      </c>
      <c r="F52" s="137">
        <v>1.9750000000000001</v>
      </c>
      <c r="G52" s="138">
        <f>C52*D52*E52*F52</f>
        <v>1.4615000000000002</v>
      </c>
      <c r="H52" s="136" t="s">
        <v>10</v>
      </c>
      <c r="I52" s="135"/>
    </row>
    <row r="53" spans="1:12">
      <c r="A53" s="18"/>
      <c r="B53" s="8"/>
      <c r="C53" s="136">
        <v>1</v>
      </c>
      <c r="D53" s="137">
        <v>1.45</v>
      </c>
      <c r="E53" s="137">
        <v>0.2</v>
      </c>
      <c r="F53" s="137">
        <v>1.9750000000000001</v>
      </c>
      <c r="G53" s="138">
        <f>C53*D53*E53*F53</f>
        <v>0.57274999999999998</v>
      </c>
      <c r="H53" s="136" t="s">
        <v>10</v>
      </c>
      <c r="I53" s="135"/>
    </row>
    <row r="54" spans="1:12">
      <c r="A54" s="18"/>
      <c r="B54" s="8"/>
      <c r="C54" s="136">
        <v>1</v>
      </c>
      <c r="D54" s="137">
        <v>1.05</v>
      </c>
      <c r="E54" s="137">
        <v>0.3</v>
      </c>
      <c r="F54" s="137">
        <v>0.15</v>
      </c>
      <c r="G54" s="138">
        <f>C54*D54*E54*F54</f>
        <v>4.725E-2</v>
      </c>
      <c r="H54" s="136" t="s">
        <v>10</v>
      </c>
      <c r="I54" s="135"/>
    </row>
    <row r="55" spans="1:12">
      <c r="A55" s="18"/>
      <c r="B55" s="8"/>
      <c r="C55" s="136"/>
      <c r="D55" s="137"/>
      <c r="E55" s="137"/>
      <c r="F55" s="137"/>
      <c r="G55" s="138"/>
      <c r="H55" s="136"/>
      <c r="I55" s="135"/>
    </row>
    <row r="56" spans="1:12">
      <c r="A56" s="18"/>
      <c r="B56" s="8"/>
      <c r="C56" s="1"/>
      <c r="D56" s="1"/>
      <c r="E56" s="1"/>
      <c r="F56" s="100" t="s">
        <v>11</v>
      </c>
      <c r="G56" s="53">
        <f>SUM(G50:G55)</f>
        <v>24.425249999999998</v>
      </c>
      <c r="H56" s="50" t="s">
        <v>12</v>
      </c>
      <c r="I56" s="135"/>
    </row>
    <row r="57" spans="1:12">
      <c r="A57" s="18"/>
      <c r="B57" s="44"/>
      <c r="C57" s="1"/>
      <c r="D57" s="1"/>
      <c r="E57" s="1"/>
      <c r="F57" s="56" t="s">
        <v>13</v>
      </c>
      <c r="G57" s="27">
        <f>ROUNDUP(G56,0)</f>
        <v>25</v>
      </c>
      <c r="H57" s="28" t="s">
        <v>9</v>
      </c>
    </row>
    <row r="58" spans="1:12">
      <c r="A58" s="18"/>
      <c r="B58" s="44"/>
      <c r="C58" s="136"/>
      <c r="D58" s="136"/>
      <c r="E58" s="136"/>
      <c r="F58" s="1"/>
      <c r="G58" s="33"/>
      <c r="H58" s="24"/>
    </row>
    <row r="59" spans="1:12" ht="41.4">
      <c r="A59" s="18"/>
      <c r="B59" s="10" t="s">
        <v>34</v>
      </c>
      <c r="C59" s="136"/>
      <c r="D59" s="136"/>
      <c r="E59" s="136"/>
      <c r="F59" s="1"/>
      <c r="G59" s="33"/>
      <c r="H59" s="24"/>
    </row>
    <row r="60" spans="1:12">
      <c r="A60" s="18"/>
      <c r="B60" s="44"/>
      <c r="C60" s="136"/>
      <c r="D60" s="136"/>
      <c r="E60" s="136"/>
      <c r="F60" s="1"/>
      <c r="G60" s="33"/>
      <c r="H60" s="24"/>
    </row>
    <row r="61" spans="1:12">
      <c r="A61" s="18">
        <f>A49+1</f>
        <v>8</v>
      </c>
      <c r="B61" s="43" t="s">
        <v>685</v>
      </c>
      <c r="C61" s="136"/>
      <c r="D61" s="136"/>
      <c r="E61" s="136"/>
      <c r="F61" s="1"/>
      <c r="G61" s="33"/>
      <c r="H61" s="24"/>
    </row>
    <row r="62" spans="1:12">
      <c r="A62" s="18"/>
      <c r="B62" s="44"/>
      <c r="C62" s="136">
        <f>C36</f>
        <v>1</v>
      </c>
      <c r="D62" s="137">
        <f>2*(D36+E36)</f>
        <v>27.4</v>
      </c>
      <c r="F62" s="137">
        <f>F36</f>
        <v>0.3</v>
      </c>
      <c r="G62" s="138">
        <f>C62*D62*F62</f>
        <v>8.2199999999999989</v>
      </c>
      <c r="H62" s="136" t="s">
        <v>47</v>
      </c>
      <c r="I62" s="136"/>
      <c r="J62" s="137"/>
      <c r="K62" s="137"/>
      <c r="L62" s="137"/>
    </row>
    <row r="63" spans="1:12">
      <c r="A63" s="18"/>
      <c r="B63" s="44"/>
      <c r="C63" s="136">
        <f>C37</f>
        <v>1</v>
      </c>
      <c r="D63" s="137">
        <f>2*(D37+E37)</f>
        <v>7.8</v>
      </c>
      <c r="F63" s="137">
        <f>F37</f>
        <v>0.2</v>
      </c>
      <c r="G63" s="138">
        <f>C63*D63*F63</f>
        <v>1.56</v>
      </c>
      <c r="H63" s="136" t="s">
        <v>10</v>
      </c>
      <c r="I63" s="136"/>
      <c r="J63" s="137"/>
      <c r="K63" s="137"/>
      <c r="L63" s="137"/>
    </row>
    <row r="64" spans="1:12">
      <c r="A64" s="18"/>
      <c r="B64" s="44"/>
      <c r="C64" s="136"/>
      <c r="D64" s="136"/>
      <c r="E64" s="136"/>
      <c r="F64" s="137"/>
      <c r="G64" s="33"/>
      <c r="H64" s="24"/>
    </row>
    <row r="65" spans="1:9">
      <c r="A65" s="18"/>
      <c r="B65" s="44"/>
      <c r="C65" s="136"/>
      <c r="D65" s="136"/>
      <c r="E65" s="136"/>
      <c r="F65" s="100" t="s">
        <v>11</v>
      </c>
      <c r="G65" s="53">
        <f>SUM(G62:G64)</f>
        <v>9.7799999999999994</v>
      </c>
      <c r="H65" s="50" t="s">
        <v>17</v>
      </c>
    </row>
    <row r="66" spans="1:9">
      <c r="A66" s="18"/>
      <c r="B66" s="44"/>
      <c r="C66" s="136"/>
      <c r="D66" s="136"/>
      <c r="E66" s="136"/>
      <c r="F66" s="69" t="s">
        <v>13</v>
      </c>
      <c r="G66" s="27">
        <f>ROUNDUP(G65,0)</f>
        <v>10</v>
      </c>
      <c r="H66" s="28" t="s">
        <v>17</v>
      </c>
    </row>
    <row r="67" spans="1:9">
      <c r="A67" s="18"/>
      <c r="B67" s="44"/>
      <c r="C67" s="136"/>
      <c r="D67" s="136"/>
      <c r="E67" s="136"/>
      <c r="F67" s="1"/>
      <c r="G67" s="33"/>
      <c r="H67" s="24"/>
    </row>
    <row r="68" spans="1:9">
      <c r="A68" s="18">
        <f>A61+1</f>
        <v>9</v>
      </c>
      <c r="B68" s="11" t="s">
        <v>55</v>
      </c>
      <c r="C68" s="1"/>
      <c r="D68" s="5"/>
      <c r="E68" s="5"/>
      <c r="F68" s="1"/>
      <c r="G68" s="33"/>
      <c r="H68" s="24"/>
    </row>
    <row r="69" spans="1:9">
      <c r="A69" s="18"/>
      <c r="B69" s="44"/>
      <c r="C69" s="136">
        <v>1</v>
      </c>
      <c r="D69" s="137">
        <f>D43</f>
        <v>8</v>
      </c>
      <c r="E69" s="137">
        <f>E43</f>
        <v>4.5</v>
      </c>
      <c r="F69" s="1"/>
      <c r="G69" s="138">
        <f>C69*D69*E69</f>
        <v>36</v>
      </c>
      <c r="H69" s="136" t="s">
        <v>47</v>
      </c>
    </row>
    <row r="70" spans="1:9">
      <c r="A70" s="18"/>
      <c r="B70" s="44"/>
      <c r="C70" s="136">
        <v>1</v>
      </c>
      <c r="D70" s="137">
        <f>D44</f>
        <v>1.45</v>
      </c>
      <c r="E70" s="137">
        <f>E44</f>
        <v>1.85</v>
      </c>
      <c r="F70" s="1"/>
      <c r="G70" s="138">
        <f>C70*D70*E70</f>
        <v>2.6825000000000001</v>
      </c>
      <c r="H70" s="136" t="s">
        <v>10</v>
      </c>
    </row>
    <row r="71" spans="1:9">
      <c r="A71" s="18"/>
      <c r="B71" s="44"/>
      <c r="C71" s="136"/>
      <c r="D71" s="136"/>
      <c r="E71" s="136"/>
      <c r="F71" s="1"/>
      <c r="G71" s="33"/>
      <c r="H71" s="24"/>
    </row>
    <row r="72" spans="1:9">
      <c r="A72" s="18"/>
      <c r="B72" s="44"/>
      <c r="C72" s="136"/>
      <c r="D72" s="136"/>
      <c r="E72" s="136"/>
      <c r="F72" s="100" t="s">
        <v>11</v>
      </c>
      <c r="G72" s="53">
        <f>SUM(G69:G71)</f>
        <v>38.682499999999997</v>
      </c>
      <c r="H72" s="50" t="s">
        <v>17</v>
      </c>
    </row>
    <row r="73" spans="1:9">
      <c r="A73" s="18"/>
      <c r="B73" s="44"/>
      <c r="C73" s="136"/>
      <c r="D73" s="136"/>
      <c r="E73" s="136"/>
      <c r="F73" s="69" t="s">
        <v>13</v>
      </c>
      <c r="G73" s="27">
        <f>ROUNDUP(G72,0)</f>
        <v>39</v>
      </c>
      <c r="H73" s="28" t="s">
        <v>17</v>
      </c>
    </row>
    <row r="74" spans="1:9">
      <c r="A74" s="18"/>
      <c r="B74" s="44"/>
      <c r="C74" s="136"/>
      <c r="D74" s="136"/>
      <c r="E74" s="136"/>
      <c r="F74" s="1"/>
      <c r="G74" s="33"/>
      <c r="H74" s="24"/>
    </row>
    <row r="75" spans="1:9">
      <c r="A75" s="18">
        <f>A68+1</f>
        <v>10</v>
      </c>
      <c r="B75" s="11" t="s">
        <v>62</v>
      </c>
      <c r="C75" s="136">
        <f>2*C43</f>
        <v>2</v>
      </c>
      <c r="D75" s="137">
        <f>D43+E43</f>
        <v>12.5</v>
      </c>
      <c r="F75" s="137">
        <v>0.17499999999999999</v>
      </c>
      <c r="G75" s="138">
        <f>C75*D75*F75</f>
        <v>4.375</v>
      </c>
      <c r="H75" s="136" t="s">
        <v>47</v>
      </c>
    </row>
    <row r="76" spans="1:9">
      <c r="A76" s="18"/>
      <c r="B76" s="32"/>
      <c r="C76" s="136">
        <f>2*C44</f>
        <v>2</v>
      </c>
      <c r="D76" s="137">
        <f>D44+E44</f>
        <v>3.3</v>
      </c>
      <c r="F76" s="137">
        <v>0.15</v>
      </c>
      <c r="G76" s="138">
        <f>C76*D76*F76</f>
        <v>0.98999999999999988</v>
      </c>
      <c r="H76" s="136" t="s">
        <v>10</v>
      </c>
      <c r="I76" s="5"/>
    </row>
    <row r="77" spans="1:9">
      <c r="A77" s="18"/>
      <c r="B77" s="32"/>
      <c r="C77" s="136">
        <v>3</v>
      </c>
      <c r="D77" s="137">
        <f>2*(0.75+0.75)</f>
        <v>3</v>
      </c>
      <c r="F77" s="137">
        <v>0.17499999999999999</v>
      </c>
      <c r="G77" s="138">
        <f>C77*D77*F77</f>
        <v>1.575</v>
      </c>
      <c r="H77" s="136"/>
      <c r="I77" s="5"/>
    </row>
    <row r="78" spans="1:9">
      <c r="A78" s="18"/>
      <c r="B78" s="32"/>
      <c r="C78" s="136"/>
      <c r="D78" s="136"/>
      <c r="E78" s="136"/>
      <c r="F78" s="1"/>
      <c r="G78" s="33"/>
      <c r="H78" s="24"/>
      <c r="I78" s="5"/>
    </row>
    <row r="79" spans="1:9">
      <c r="A79" s="18"/>
      <c r="B79" s="32"/>
      <c r="C79" s="136"/>
      <c r="D79" s="136"/>
      <c r="E79" s="136"/>
      <c r="F79" s="100" t="s">
        <v>11</v>
      </c>
      <c r="G79" s="53">
        <f>SUM(G75:G78)</f>
        <v>6.94</v>
      </c>
      <c r="H79" s="50" t="s">
        <v>17</v>
      </c>
      <c r="I79" s="5"/>
    </row>
    <row r="80" spans="1:9">
      <c r="A80" s="18"/>
      <c r="B80" s="32"/>
      <c r="C80" s="136"/>
      <c r="D80" s="136"/>
      <c r="E80" s="136"/>
      <c r="F80" s="69" t="s">
        <v>13</v>
      </c>
      <c r="G80" s="27">
        <f>ROUNDUP(G79,0)</f>
        <v>7</v>
      </c>
      <c r="H80" s="28" t="s">
        <v>17</v>
      </c>
      <c r="I80" s="5"/>
    </row>
    <row r="81" spans="1:14">
      <c r="A81" s="18"/>
      <c r="B81" s="44"/>
      <c r="C81" s="136"/>
      <c r="D81" s="136"/>
      <c r="E81" s="136"/>
      <c r="F81" s="9"/>
      <c r="G81" s="33"/>
      <c r="H81" s="24"/>
    </row>
    <row r="82" spans="1:14">
      <c r="A82" s="18">
        <f>A75+1</f>
        <v>11</v>
      </c>
      <c r="B82" s="43" t="s">
        <v>686</v>
      </c>
      <c r="C82" s="136"/>
      <c r="D82" s="136"/>
      <c r="E82" s="136"/>
      <c r="F82" s="1"/>
      <c r="G82" s="33"/>
      <c r="H82" s="24"/>
    </row>
    <row r="83" spans="1:14">
      <c r="A83" s="18"/>
      <c r="B83" s="44"/>
      <c r="C83" s="136">
        <f>2*C50</f>
        <v>4</v>
      </c>
      <c r="D83" s="137">
        <f>D50</f>
        <v>8</v>
      </c>
      <c r="F83" s="137">
        <f>F50</f>
        <v>3.5750000000000002</v>
      </c>
      <c r="G83" s="138">
        <f>C83*D83*F83</f>
        <v>114.4</v>
      </c>
      <c r="H83" s="136" t="s">
        <v>47</v>
      </c>
      <c r="I83" s="136"/>
      <c r="J83" s="137"/>
      <c r="K83" s="137"/>
      <c r="L83" s="137"/>
      <c r="M83" s="138"/>
      <c r="N83" s="136"/>
    </row>
    <row r="84" spans="1:14">
      <c r="A84" s="18"/>
      <c r="B84" s="44"/>
      <c r="C84" s="136">
        <f>2*C51</f>
        <v>4</v>
      </c>
      <c r="D84" s="137">
        <f>D51</f>
        <v>4.5</v>
      </c>
      <c r="F84" s="137">
        <f>F51</f>
        <v>3.5750000000000002</v>
      </c>
      <c r="G84" s="138">
        <f>C84*D84*F84</f>
        <v>64.350000000000009</v>
      </c>
      <c r="H84" s="136" t="s">
        <v>10</v>
      </c>
      <c r="I84" s="136"/>
      <c r="J84" s="137"/>
      <c r="K84" s="137"/>
      <c r="L84" s="137"/>
      <c r="M84" s="138"/>
      <c r="N84" s="136"/>
    </row>
    <row r="85" spans="1:14">
      <c r="A85" s="18"/>
      <c r="B85" s="44"/>
      <c r="C85" s="136">
        <f>2*C52</f>
        <v>4</v>
      </c>
      <c r="D85" s="137">
        <f>D52</f>
        <v>1.85</v>
      </c>
      <c r="F85" s="137">
        <f>F52</f>
        <v>1.9750000000000001</v>
      </c>
      <c r="G85" s="138">
        <f>C85*D85*F85</f>
        <v>14.615000000000002</v>
      </c>
      <c r="H85" s="136" t="s">
        <v>10</v>
      </c>
      <c r="I85" s="136"/>
      <c r="J85" s="137"/>
      <c r="K85" s="137"/>
      <c r="L85" s="137"/>
      <c r="M85" s="138"/>
      <c r="N85" s="136"/>
    </row>
    <row r="86" spans="1:14">
      <c r="A86" s="18"/>
      <c r="B86" s="44"/>
      <c r="C86" s="136">
        <f>2*C53</f>
        <v>2</v>
      </c>
      <c r="D86" s="137">
        <f>D53</f>
        <v>1.45</v>
      </c>
      <c r="F86" s="137">
        <f>F53</f>
        <v>1.9750000000000001</v>
      </c>
      <c r="G86" s="138">
        <f>C86*D86*F86</f>
        <v>5.7275</v>
      </c>
      <c r="H86" s="136" t="s">
        <v>10</v>
      </c>
      <c r="I86" s="136"/>
      <c r="J86" s="137"/>
      <c r="K86" s="137"/>
      <c r="L86" s="137"/>
      <c r="M86" s="138"/>
      <c r="N86" s="136"/>
    </row>
    <row r="87" spans="1:14">
      <c r="A87" s="18"/>
      <c r="B87" s="44"/>
      <c r="C87" s="136">
        <f>2*C54</f>
        <v>2</v>
      </c>
      <c r="D87" s="137">
        <f>D54</f>
        <v>1.05</v>
      </c>
      <c r="F87" s="137">
        <f>F54</f>
        <v>0.15</v>
      </c>
      <c r="G87" s="138">
        <f>C87*D87*F87</f>
        <v>0.315</v>
      </c>
      <c r="H87" s="136" t="s">
        <v>10</v>
      </c>
      <c r="I87" s="136"/>
      <c r="J87" s="137"/>
      <c r="K87" s="137"/>
      <c r="L87" s="137"/>
      <c r="M87" s="138"/>
      <c r="N87" s="136"/>
    </row>
    <row r="88" spans="1:14">
      <c r="A88" s="18"/>
      <c r="B88" s="44"/>
      <c r="C88" s="136"/>
      <c r="D88" s="136"/>
      <c r="E88" s="136"/>
      <c r="F88" s="1"/>
      <c r="G88" s="33"/>
      <c r="H88" s="24"/>
    </row>
    <row r="89" spans="1:14">
      <c r="A89" s="18"/>
      <c r="B89" s="44"/>
      <c r="C89" s="136"/>
      <c r="D89" s="136"/>
      <c r="E89" s="136"/>
      <c r="F89" s="100" t="s">
        <v>11</v>
      </c>
      <c r="G89" s="53">
        <f>SUM(G83:G88)</f>
        <v>199.4075</v>
      </c>
      <c r="H89" s="50" t="s">
        <v>17</v>
      </c>
    </row>
    <row r="90" spans="1:14">
      <c r="A90" s="18"/>
      <c r="B90" s="44"/>
      <c r="C90" s="136"/>
      <c r="D90" s="136"/>
      <c r="E90" s="136"/>
      <c r="F90" s="69" t="s">
        <v>13</v>
      </c>
      <c r="G90" s="27">
        <f>ROUNDUP(G89,0)</f>
        <v>200</v>
      </c>
      <c r="H90" s="28" t="s">
        <v>17</v>
      </c>
    </row>
    <row r="92" spans="1:14">
      <c r="A92" s="18">
        <f>A82+1</f>
        <v>12</v>
      </c>
      <c r="B92" s="6" t="s">
        <v>40</v>
      </c>
      <c r="C92" s="1"/>
      <c r="D92" s="5"/>
      <c r="E92" s="5"/>
      <c r="F92" s="5"/>
      <c r="G92" s="2"/>
      <c r="H92" s="1"/>
      <c r="K92" s="9"/>
    </row>
    <row r="93" spans="1:14">
      <c r="A93" s="18"/>
      <c r="B93" s="13" t="s">
        <v>682</v>
      </c>
      <c r="C93" s="5">
        <f>G40</f>
        <v>14</v>
      </c>
      <c r="D93" s="5" t="s">
        <v>18</v>
      </c>
      <c r="E93" s="5">
        <v>100</v>
      </c>
      <c r="F93" s="46"/>
      <c r="G93" s="2">
        <f>C93*E93</f>
        <v>1400</v>
      </c>
      <c r="H93" s="1" t="s">
        <v>19</v>
      </c>
    </row>
    <row r="94" spans="1:14">
      <c r="A94" s="18"/>
      <c r="B94" s="13" t="s">
        <v>683</v>
      </c>
      <c r="C94" s="5">
        <f>G47</f>
        <v>7</v>
      </c>
      <c r="D94" s="5" t="s">
        <v>18</v>
      </c>
      <c r="E94" s="5">
        <v>60</v>
      </c>
      <c r="G94" s="2">
        <f>C94*E94</f>
        <v>420</v>
      </c>
      <c r="H94" s="136" t="s">
        <v>10</v>
      </c>
    </row>
    <row r="95" spans="1:14">
      <c r="A95" s="18"/>
      <c r="B95" s="13" t="s">
        <v>684</v>
      </c>
      <c r="C95" s="5">
        <f>G57</f>
        <v>25</v>
      </c>
      <c r="D95" s="5" t="s">
        <v>18</v>
      </c>
      <c r="E95" s="5">
        <v>150</v>
      </c>
      <c r="G95" s="2">
        <f>C95*E95</f>
        <v>3750</v>
      </c>
      <c r="H95" s="136" t="s">
        <v>10</v>
      </c>
    </row>
    <row r="96" spans="1:14">
      <c r="A96" s="18"/>
      <c r="B96" s="13"/>
      <c r="C96" s="5"/>
      <c r="D96" s="5"/>
      <c r="E96" s="5"/>
      <c r="G96" s="135"/>
      <c r="H96" s="136"/>
    </row>
    <row r="97" spans="1:10">
      <c r="A97" s="18"/>
      <c r="F97" s="145" t="s">
        <v>11</v>
      </c>
      <c r="G97" s="146">
        <f>SUM(G93:G96)</f>
        <v>5570</v>
      </c>
      <c r="H97" s="147" t="s">
        <v>19</v>
      </c>
      <c r="J97" s="124">
        <f>G97/1000</f>
        <v>5.57</v>
      </c>
    </row>
    <row r="98" spans="1:10" s="9" customFormat="1">
      <c r="A98" s="18"/>
      <c r="B98" s="6"/>
      <c r="D98" s="4"/>
      <c r="E98" s="4"/>
      <c r="F98" s="148" t="s">
        <v>13</v>
      </c>
      <c r="G98" s="27">
        <f>ROUNDUP(G97,0)</f>
        <v>5570</v>
      </c>
      <c r="H98" s="149" t="s">
        <v>24</v>
      </c>
    </row>
    <row r="99" spans="1:10" s="9" customFormat="1">
      <c r="A99" s="18"/>
      <c r="G99" s="33"/>
      <c r="H99" s="24"/>
      <c r="J99" s="124"/>
    </row>
    <row r="100" spans="1:10">
      <c r="A100" s="18">
        <f>A92+1</f>
        <v>13</v>
      </c>
      <c r="B100" s="9" t="s">
        <v>687</v>
      </c>
      <c r="C100" s="9"/>
      <c r="D100" s="4"/>
      <c r="E100" s="4"/>
      <c r="F100" s="4"/>
      <c r="G100" s="4"/>
      <c r="H100" s="9"/>
      <c r="I100" s="9"/>
    </row>
    <row r="101" spans="1:10">
      <c r="A101" s="18"/>
      <c r="B101" s="46" t="s">
        <v>688</v>
      </c>
      <c r="C101" s="136">
        <v>2</v>
      </c>
      <c r="D101" s="137">
        <v>7.5</v>
      </c>
      <c r="F101" s="137">
        <f>2.5+1.075</f>
        <v>3.5750000000000002</v>
      </c>
      <c r="G101" s="138">
        <f>C101*D101*F101</f>
        <v>53.625</v>
      </c>
      <c r="H101" s="136" t="s">
        <v>47</v>
      </c>
      <c r="I101" s="9"/>
    </row>
    <row r="102" spans="1:10">
      <c r="A102" s="18"/>
      <c r="B102" s="46"/>
      <c r="C102" s="136">
        <v>2</v>
      </c>
      <c r="D102" s="137">
        <v>4</v>
      </c>
      <c r="F102" s="137">
        <f>2.5+1.075</f>
        <v>3.5750000000000002</v>
      </c>
      <c r="G102" s="138">
        <f>C102*D102*F102</f>
        <v>28.6</v>
      </c>
      <c r="H102" s="136" t="s">
        <v>10</v>
      </c>
      <c r="I102" s="9"/>
    </row>
    <row r="103" spans="1:10">
      <c r="A103" s="18"/>
      <c r="B103" s="46"/>
      <c r="C103" s="136">
        <v>2</v>
      </c>
      <c r="D103" s="137">
        <v>1.65</v>
      </c>
      <c r="F103" s="137">
        <v>1.9750000000000001</v>
      </c>
      <c r="G103" s="138">
        <f>C103*D103*F103</f>
        <v>6.5175000000000001</v>
      </c>
      <c r="H103" s="136" t="s">
        <v>10</v>
      </c>
      <c r="I103" s="9"/>
    </row>
    <row r="104" spans="1:10">
      <c r="A104" s="18"/>
      <c r="B104" s="46"/>
      <c r="C104" s="136">
        <v>2</v>
      </c>
      <c r="D104" s="137">
        <v>1.05</v>
      </c>
      <c r="F104" s="137">
        <v>1.9750000000000001</v>
      </c>
      <c r="G104" s="138">
        <f>C104*D104*F104</f>
        <v>4.1475</v>
      </c>
      <c r="H104" s="136" t="s">
        <v>10</v>
      </c>
      <c r="I104" s="9"/>
    </row>
    <row r="105" spans="1:10">
      <c r="A105" s="18"/>
      <c r="B105" s="46" t="s">
        <v>689</v>
      </c>
      <c r="C105" s="136">
        <v>2</v>
      </c>
      <c r="D105" s="137">
        <v>7.5</v>
      </c>
      <c r="E105" s="137">
        <v>4</v>
      </c>
      <c r="F105" s="137"/>
      <c r="G105" s="138">
        <f>C105*D105*E105</f>
        <v>60</v>
      </c>
      <c r="H105" s="136" t="s">
        <v>10</v>
      </c>
      <c r="I105" s="9"/>
    </row>
    <row r="106" spans="1:10">
      <c r="A106" s="18"/>
      <c r="B106" s="46"/>
      <c r="C106" s="136">
        <v>2</v>
      </c>
      <c r="D106" s="137">
        <v>1.65</v>
      </c>
      <c r="E106" s="137">
        <v>1.05</v>
      </c>
      <c r="F106" s="137"/>
      <c r="G106" s="138">
        <f>C106*D106*E106</f>
        <v>3.4649999999999999</v>
      </c>
      <c r="H106" s="136" t="s">
        <v>10</v>
      </c>
      <c r="I106" s="9"/>
    </row>
    <row r="107" spans="1:10">
      <c r="A107" s="18"/>
      <c r="B107" s="9"/>
      <c r="C107" s="61">
        <v>1</v>
      </c>
      <c r="D107" s="137">
        <v>1.05</v>
      </c>
      <c r="E107" s="137">
        <v>0.3</v>
      </c>
      <c r="F107" s="46"/>
      <c r="G107" s="138">
        <f>C107*D107*E107</f>
        <v>0.315</v>
      </c>
      <c r="H107" s="136" t="s">
        <v>10</v>
      </c>
      <c r="I107" s="9"/>
    </row>
    <row r="108" spans="1:10">
      <c r="A108" s="18"/>
      <c r="B108" s="9"/>
      <c r="C108" s="61">
        <v>1</v>
      </c>
      <c r="D108" s="137">
        <v>1.5</v>
      </c>
      <c r="E108" s="137">
        <v>1.5</v>
      </c>
      <c r="F108" s="46"/>
      <c r="G108" s="138">
        <f>C108*D108*E108</f>
        <v>2.25</v>
      </c>
      <c r="H108" s="136" t="s">
        <v>10</v>
      </c>
      <c r="I108" s="9"/>
    </row>
    <row r="109" spans="1:10">
      <c r="A109" s="18"/>
      <c r="B109" s="9"/>
      <c r="C109" s="61"/>
      <c r="D109" s="137"/>
      <c r="E109" s="137"/>
      <c r="F109" s="46"/>
      <c r="G109" s="4"/>
      <c r="H109" s="1"/>
      <c r="I109" s="9"/>
    </row>
    <row r="110" spans="1:10">
      <c r="A110" s="18"/>
      <c r="B110" s="9"/>
      <c r="C110" s="61"/>
      <c r="D110" s="1"/>
      <c r="E110" s="5"/>
      <c r="F110" s="100" t="s">
        <v>11</v>
      </c>
      <c r="G110" s="53">
        <f>SUM(G101:G109)</f>
        <v>158.91999999999999</v>
      </c>
      <c r="H110" s="50" t="s">
        <v>17</v>
      </c>
      <c r="I110" s="9"/>
    </row>
    <row r="111" spans="1:10">
      <c r="A111" s="18"/>
      <c r="B111" s="9"/>
      <c r="C111" s="9"/>
      <c r="D111" s="9"/>
      <c r="E111" s="9"/>
      <c r="F111" s="69" t="s">
        <v>13</v>
      </c>
      <c r="G111" s="27">
        <f>ROUNDUP(G110,0)</f>
        <v>159</v>
      </c>
      <c r="H111" s="28" t="s">
        <v>17</v>
      </c>
      <c r="I111" s="9"/>
    </row>
    <row r="112" spans="1:10">
      <c r="A112" s="18"/>
      <c r="C112" s="136"/>
      <c r="D112" s="136"/>
      <c r="G112" s="124"/>
      <c r="H112" s="124"/>
    </row>
    <row r="113" spans="1:11">
      <c r="A113" s="18"/>
      <c r="C113" s="136"/>
      <c r="D113" s="136"/>
      <c r="G113" s="124"/>
      <c r="H113" s="124"/>
    </row>
    <row r="114" spans="1:11">
      <c r="A114" s="18">
        <f>A100+1</f>
        <v>14</v>
      </c>
      <c r="B114" s="9" t="s">
        <v>766</v>
      </c>
      <c r="C114" s="1">
        <v>3</v>
      </c>
      <c r="D114" s="150" t="s">
        <v>765</v>
      </c>
      <c r="E114" s="124">
        <v>15</v>
      </c>
      <c r="F114" s="124" t="s">
        <v>19</v>
      </c>
      <c r="G114" s="151">
        <f>C114*E114</f>
        <v>45</v>
      </c>
      <c r="H114" s="152" t="s">
        <v>19</v>
      </c>
      <c r="I114" s="24"/>
      <c r="J114" s="24"/>
      <c r="K114" s="153"/>
    </row>
    <row r="116" spans="1:11">
      <c r="A116" s="18">
        <f>A114+1</f>
        <v>15</v>
      </c>
      <c r="B116" s="9" t="s">
        <v>690</v>
      </c>
      <c r="C116" s="9"/>
      <c r="D116" s="4"/>
      <c r="E116" s="4"/>
      <c r="F116" s="4"/>
      <c r="G116" s="4"/>
      <c r="H116" s="9"/>
      <c r="I116" s="9"/>
      <c r="J116" s="9"/>
    </row>
    <row r="117" spans="1:11">
      <c r="A117" s="18"/>
      <c r="B117" s="46" t="s">
        <v>691</v>
      </c>
      <c r="C117" s="1">
        <v>1</v>
      </c>
      <c r="D117" s="5">
        <v>1.65</v>
      </c>
      <c r="E117" s="5">
        <v>1.05</v>
      </c>
      <c r="F117" s="9"/>
      <c r="G117" s="2">
        <f>C117*D117*E117</f>
        <v>1.7324999999999999</v>
      </c>
      <c r="H117" s="1" t="s">
        <v>47</v>
      </c>
      <c r="I117" s="9"/>
      <c r="J117" s="9"/>
    </row>
    <row r="118" spans="1:11">
      <c r="A118" s="18"/>
      <c r="B118" s="46" t="s">
        <v>692</v>
      </c>
      <c r="C118" s="1">
        <v>1</v>
      </c>
      <c r="D118" s="5">
        <f>2*(1.65+1.05)</f>
        <v>5.4</v>
      </c>
      <c r="E118" s="9"/>
      <c r="F118" s="5">
        <v>1</v>
      </c>
      <c r="G118" s="2">
        <f>C118*D118*F118</f>
        <v>5.4</v>
      </c>
      <c r="H118" s="1"/>
      <c r="I118" s="9"/>
      <c r="J118" s="9"/>
    </row>
    <row r="119" spans="1:11">
      <c r="A119" s="18"/>
      <c r="B119" s="46"/>
      <c r="C119" s="1"/>
      <c r="D119" s="5"/>
      <c r="E119" s="9"/>
      <c r="F119" s="5"/>
      <c r="G119" s="2"/>
      <c r="H119" s="1"/>
      <c r="I119" s="9"/>
      <c r="J119" s="9"/>
    </row>
    <row r="120" spans="1:11">
      <c r="A120" s="18"/>
      <c r="B120" s="46"/>
      <c r="C120" s="1"/>
      <c r="D120" s="5"/>
      <c r="E120" s="9"/>
      <c r="F120" s="100" t="s">
        <v>11</v>
      </c>
      <c r="G120" s="53">
        <f>SUM(G117:G119)</f>
        <v>7.1325000000000003</v>
      </c>
      <c r="H120" s="50" t="s">
        <v>17</v>
      </c>
      <c r="I120" s="9"/>
      <c r="J120" s="9"/>
    </row>
    <row r="121" spans="1:11">
      <c r="A121" s="9"/>
      <c r="B121" s="9"/>
      <c r="C121" s="9"/>
      <c r="D121" s="9"/>
      <c r="E121" s="9"/>
      <c r="F121" s="69" t="s">
        <v>13</v>
      </c>
      <c r="G121" s="27">
        <f>ROUNDUP(G120,0)</f>
        <v>8</v>
      </c>
      <c r="H121" s="28" t="s">
        <v>17</v>
      </c>
      <c r="I121" s="9"/>
      <c r="J121" s="9"/>
    </row>
    <row r="123" spans="1:11">
      <c r="A123" s="18">
        <f>A116+1</f>
        <v>16</v>
      </c>
      <c r="B123" s="9" t="s">
        <v>693</v>
      </c>
      <c r="C123" s="1">
        <v>4</v>
      </c>
      <c r="D123" s="154">
        <v>4</v>
      </c>
      <c r="G123" s="151">
        <f>C123*D123</f>
        <v>16</v>
      </c>
      <c r="H123" s="152" t="s">
        <v>49</v>
      </c>
    </row>
    <row r="124" spans="1:11">
      <c r="C124" s="1"/>
    </row>
    <row r="125" spans="1:11">
      <c r="A125" s="18">
        <f>A123+1</f>
        <v>17</v>
      </c>
      <c r="B125" s="9" t="s">
        <v>694</v>
      </c>
      <c r="C125" s="1">
        <v>2</v>
      </c>
      <c r="D125" s="150"/>
      <c r="G125" s="151">
        <f>C125</f>
        <v>2</v>
      </c>
      <c r="H125" s="152" t="s">
        <v>562</v>
      </c>
    </row>
    <row r="126" spans="1:11">
      <c r="C126" s="1"/>
    </row>
    <row r="127" spans="1:11">
      <c r="A127" s="18">
        <f>A125+1</f>
        <v>18</v>
      </c>
      <c r="B127" s="124" t="s">
        <v>461</v>
      </c>
      <c r="C127" s="1">
        <v>36</v>
      </c>
      <c r="G127" s="151">
        <f>C127</f>
        <v>36</v>
      </c>
      <c r="H127" s="152" t="s">
        <v>562</v>
      </c>
    </row>
    <row r="129" spans="1:8">
      <c r="A129" s="18">
        <f>A127+1</f>
        <v>19</v>
      </c>
      <c r="B129" s="124" t="s">
        <v>695</v>
      </c>
      <c r="C129" s="1">
        <v>1</v>
      </c>
      <c r="D129" s="137">
        <v>1.1000000000000001</v>
      </c>
      <c r="F129" s="124">
        <v>0.45</v>
      </c>
      <c r="G129" s="138">
        <f>C129*D129*F129</f>
        <v>0.49500000000000005</v>
      </c>
      <c r="H129" s="152" t="s">
        <v>17</v>
      </c>
    </row>
    <row r="130" spans="1:8">
      <c r="F130" s="125" t="s">
        <v>696</v>
      </c>
      <c r="G130" s="125">
        <f>G129*30</f>
        <v>14.850000000000001</v>
      </c>
      <c r="H130" s="125" t="s">
        <v>24</v>
      </c>
    </row>
    <row r="131" spans="1:8">
      <c r="F131" s="69" t="s">
        <v>13</v>
      </c>
      <c r="G131" s="27">
        <f>ROUNDUP(G130,0)</f>
        <v>15</v>
      </c>
      <c r="H131" s="28" t="s">
        <v>401</v>
      </c>
    </row>
    <row r="133" spans="1:8">
      <c r="A133" s="18">
        <f>A129+1</f>
        <v>20</v>
      </c>
      <c r="B133" s="124" t="s">
        <v>801</v>
      </c>
      <c r="C133" s="1">
        <v>6</v>
      </c>
      <c r="G133" s="151">
        <f>C133</f>
        <v>6</v>
      </c>
      <c r="H133" s="152" t="s">
        <v>562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476"/>
  <sheetViews>
    <sheetView zoomScale="120" zoomScaleNormal="120" zoomScaleSheetLayoutView="110" workbookViewId="0">
      <selection activeCell="I9" sqref="I9"/>
    </sheetView>
  </sheetViews>
  <sheetFormatPr defaultRowHeight="13.8"/>
  <cols>
    <col min="1" max="1" width="5.6640625" style="13" bestFit="1" customWidth="1"/>
    <col min="2" max="2" width="36.6640625" style="11" bestFit="1" customWidth="1"/>
    <col min="3" max="3" width="4.88671875" style="9" bestFit="1" customWidth="1"/>
    <col min="4" max="4" width="26.5546875" style="13" bestFit="1" customWidth="1"/>
    <col min="5" max="5" width="8.44140625" style="11" bestFit="1" customWidth="1"/>
    <col min="6" max="6" width="7.44140625" style="11" bestFit="1" customWidth="1"/>
    <col min="7" max="7" width="7.44140625" style="14" customWidth="1"/>
    <col min="8" max="9" width="9.33203125" style="14" customWidth="1"/>
    <col min="10" max="256" width="9.109375" style="11"/>
    <col min="257" max="257" width="5.109375" style="11" customWidth="1"/>
    <col min="258" max="258" width="35" style="11" customWidth="1"/>
    <col min="259" max="259" width="5.6640625" style="11" customWidth="1"/>
    <col min="260" max="260" width="18.33203125" style="11" customWidth="1"/>
    <col min="261" max="261" width="10.109375" style="11" customWidth="1"/>
    <col min="262" max="262" width="12.33203125" style="11" customWidth="1"/>
    <col min="263" max="263" width="7.44140625" style="11" customWidth="1"/>
    <col min="264" max="265" width="9.33203125" style="11" customWidth="1"/>
    <col min="266" max="512" width="9.109375" style="11"/>
    <col min="513" max="513" width="5.109375" style="11" customWidth="1"/>
    <col min="514" max="514" width="35" style="11" customWidth="1"/>
    <col min="515" max="515" width="5.6640625" style="11" customWidth="1"/>
    <col min="516" max="516" width="18.33203125" style="11" customWidth="1"/>
    <col min="517" max="517" width="10.109375" style="11" customWidth="1"/>
    <col min="518" max="518" width="12.33203125" style="11" customWidth="1"/>
    <col min="519" max="519" width="7.44140625" style="11" customWidth="1"/>
    <col min="520" max="521" width="9.33203125" style="11" customWidth="1"/>
    <col min="522" max="768" width="9.109375" style="11"/>
    <col min="769" max="769" width="5.109375" style="11" customWidth="1"/>
    <col min="770" max="770" width="35" style="11" customWidth="1"/>
    <col min="771" max="771" width="5.6640625" style="11" customWidth="1"/>
    <col min="772" max="772" width="18.33203125" style="11" customWidth="1"/>
    <col min="773" max="773" width="10.109375" style="11" customWidth="1"/>
    <col min="774" max="774" width="12.33203125" style="11" customWidth="1"/>
    <col min="775" max="775" width="7.44140625" style="11" customWidth="1"/>
    <col min="776" max="777" width="9.33203125" style="11" customWidth="1"/>
    <col min="778" max="1024" width="9.109375" style="11"/>
    <col min="1025" max="1025" width="5.109375" style="11" customWidth="1"/>
    <col min="1026" max="1026" width="35" style="11" customWidth="1"/>
    <col min="1027" max="1027" width="5.6640625" style="11" customWidth="1"/>
    <col min="1028" max="1028" width="18.33203125" style="11" customWidth="1"/>
    <col min="1029" max="1029" width="10.109375" style="11" customWidth="1"/>
    <col min="1030" max="1030" width="12.33203125" style="11" customWidth="1"/>
    <col min="1031" max="1031" width="7.44140625" style="11" customWidth="1"/>
    <col min="1032" max="1033" width="9.33203125" style="11" customWidth="1"/>
    <col min="1034" max="1280" width="9.109375" style="11"/>
    <col min="1281" max="1281" width="5.109375" style="11" customWidth="1"/>
    <col min="1282" max="1282" width="35" style="11" customWidth="1"/>
    <col min="1283" max="1283" width="5.6640625" style="11" customWidth="1"/>
    <col min="1284" max="1284" width="18.33203125" style="11" customWidth="1"/>
    <col min="1285" max="1285" width="10.109375" style="11" customWidth="1"/>
    <col min="1286" max="1286" width="12.33203125" style="11" customWidth="1"/>
    <col min="1287" max="1287" width="7.44140625" style="11" customWidth="1"/>
    <col min="1288" max="1289" width="9.33203125" style="11" customWidth="1"/>
    <col min="1290" max="1536" width="9.109375" style="11"/>
    <col min="1537" max="1537" width="5.109375" style="11" customWidth="1"/>
    <col min="1538" max="1538" width="35" style="11" customWidth="1"/>
    <col min="1539" max="1539" width="5.6640625" style="11" customWidth="1"/>
    <col min="1540" max="1540" width="18.33203125" style="11" customWidth="1"/>
    <col min="1541" max="1541" width="10.109375" style="11" customWidth="1"/>
    <col min="1542" max="1542" width="12.33203125" style="11" customWidth="1"/>
    <col min="1543" max="1543" width="7.44140625" style="11" customWidth="1"/>
    <col min="1544" max="1545" width="9.33203125" style="11" customWidth="1"/>
    <col min="1546" max="1792" width="9.109375" style="11"/>
    <col min="1793" max="1793" width="5.109375" style="11" customWidth="1"/>
    <col min="1794" max="1794" width="35" style="11" customWidth="1"/>
    <col min="1795" max="1795" width="5.6640625" style="11" customWidth="1"/>
    <col min="1796" max="1796" width="18.33203125" style="11" customWidth="1"/>
    <col min="1797" max="1797" width="10.109375" style="11" customWidth="1"/>
    <col min="1798" max="1798" width="12.33203125" style="11" customWidth="1"/>
    <col min="1799" max="1799" width="7.44140625" style="11" customWidth="1"/>
    <col min="1800" max="1801" width="9.33203125" style="11" customWidth="1"/>
    <col min="1802" max="2048" width="9.109375" style="11"/>
    <col min="2049" max="2049" width="5.109375" style="11" customWidth="1"/>
    <col min="2050" max="2050" width="35" style="11" customWidth="1"/>
    <col min="2051" max="2051" width="5.6640625" style="11" customWidth="1"/>
    <col min="2052" max="2052" width="18.33203125" style="11" customWidth="1"/>
    <col min="2053" max="2053" width="10.109375" style="11" customWidth="1"/>
    <col min="2054" max="2054" width="12.33203125" style="11" customWidth="1"/>
    <col min="2055" max="2055" width="7.44140625" style="11" customWidth="1"/>
    <col min="2056" max="2057" width="9.33203125" style="11" customWidth="1"/>
    <col min="2058" max="2304" width="9.109375" style="11"/>
    <col min="2305" max="2305" width="5.109375" style="11" customWidth="1"/>
    <col min="2306" max="2306" width="35" style="11" customWidth="1"/>
    <col min="2307" max="2307" width="5.6640625" style="11" customWidth="1"/>
    <col min="2308" max="2308" width="18.33203125" style="11" customWidth="1"/>
    <col min="2309" max="2309" width="10.109375" style="11" customWidth="1"/>
    <col min="2310" max="2310" width="12.33203125" style="11" customWidth="1"/>
    <col min="2311" max="2311" width="7.44140625" style="11" customWidth="1"/>
    <col min="2312" max="2313" width="9.33203125" style="11" customWidth="1"/>
    <col min="2314" max="2560" width="9.109375" style="11"/>
    <col min="2561" max="2561" width="5.109375" style="11" customWidth="1"/>
    <col min="2562" max="2562" width="35" style="11" customWidth="1"/>
    <col min="2563" max="2563" width="5.6640625" style="11" customWidth="1"/>
    <col min="2564" max="2564" width="18.33203125" style="11" customWidth="1"/>
    <col min="2565" max="2565" width="10.109375" style="11" customWidth="1"/>
    <col min="2566" max="2566" width="12.33203125" style="11" customWidth="1"/>
    <col min="2567" max="2567" width="7.44140625" style="11" customWidth="1"/>
    <col min="2568" max="2569" width="9.33203125" style="11" customWidth="1"/>
    <col min="2570" max="2816" width="9.109375" style="11"/>
    <col min="2817" max="2817" width="5.109375" style="11" customWidth="1"/>
    <col min="2818" max="2818" width="35" style="11" customWidth="1"/>
    <col min="2819" max="2819" width="5.6640625" style="11" customWidth="1"/>
    <col min="2820" max="2820" width="18.33203125" style="11" customWidth="1"/>
    <col min="2821" max="2821" width="10.109375" style="11" customWidth="1"/>
    <col min="2822" max="2822" width="12.33203125" style="11" customWidth="1"/>
    <col min="2823" max="2823" width="7.44140625" style="11" customWidth="1"/>
    <col min="2824" max="2825" width="9.33203125" style="11" customWidth="1"/>
    <col min="2826" max="3072" width="9.109375" style="11"/>
    <col min="3073" max="3073" width="5.109375" style="11" customWidth="1"/>
    <col min="3074" max="3074" width="35" style="11" customWidth="1"/>
    <col min="3075" max="3075" width="5.6640625" style="11" customWidth="1"/>
    <col min="3076" max="3076" width="18.33203125" style="11" customWidth="1"/>
    <col min="3077" max="3077" width="10.109375" style="11" customWidth="1"/>
    <col min="3078" max="3078" width="12.33203125" style="11" customWidth="1"/>
    <col min="3079" max="3079" width="7.44140625" style="11" customWidth="1"/>
    <col min="3080" max="3081" width="9.33203125" style="11" customWidth="1"/>
    <col min="3082" max="3328" width="9.109375" style="11"/>
    <col min="3329" max="3329" width="5.109375" style="11" customWidth="1"/>
    <col min="3330" max="3330" width="35" style="11" customWidth="1"/>
    <col min="3331" max="3331" width="5.6640625" style="11" customWidth="1"/>
    <col min="3332" max="3332" width="18.33203125" style="11" customWidth="1"/>
    <col min="3333" max="3333" width="10.109375" style="11" customWidth="1"/>
    <col min="3334" max="3334" width="12.33203125" style="11" customWidth="1"/>
    <col min="3335" max="3335" width="7.44140625" style="11" customWidth="1"/>
    <col min="3336" max="3337" width="9.33203125" style="11" customWidth="1"/>
    <col min="3338" max="3584" width="9.109375" style="11"/>
    <col min="3585" max="3585" width="5.109375" style="11" customWidth="1"/>
    <col min="3586" max="3586" width="35" style="11" customWidth="1"/>
    <col min="3587" max="3587" width="5.6640625" style="11" customWidth="1"/>
    <col min="3588" max="3588" width="18.33203125" style="11" customWidth="1"/>
    <col min="3589" max="3589" width="10.109375" style="11" customWidth="1"/>
    <col min="3590" max="3590" width="12.33203125" style="11" customWidth="1"/>
    <col min="3591" max="3591" width="7.44140625" style="11" customWidth="1"/>
    <col min="3592" max="3593" width="9.33203125" style="11" customWidth="1"/>
    <col min="3594" max="3840" width="9.109375" style="11"/>
    <col min="3841" max="3841" width="5.109375" style="11" customWidth="1"/>
    <col min="3842" max="3842" width="35" style="11" customWidth="1"/>
    <col min="3843" max="3843" width="5.6640625" style="11" customWidth="1"/>
    <col min="3844" max="3844" width="18.33203125" style="11" customWidth="1"/>
    <col min="3845" max="3845" width="10.109375" style="11" customWidth="1"/>
    <col min="3846" max="3846" width="12.33203125" style="11" customWidth="1"/>
    <col min="3847" max="3847" width="7.44140625" style="11" customWidth="1"/>
    <col min="3848" max="3849" width="9.33203125" style="11" customWidth="1"/>
    <col min="3850" max="4096" width="9.109375" style="11"/>
    <col min="4097" max="4097" width="5.109375" style="11" customWidth="1"/>
    <col min="4098" max="4098" width="35" style="11" customWidth="1"/>
    <col min="4099" max="4099" width="5.6640625" style="11" customWidth="1"/>
    <col min="4100" max="4100" width="18.33203125" style="11" customWidth="1"/>
    <col min="4101" max="4101" width="10.109375" style="11" customWidth="1"/>
    <col min="4102" max="4102" width="12.33203125" style="11" customWidth="1"/>
    <col min="4103" max="4103" width="7.44140625" style="11" customWidth="1"/>
    <col min="4104" max="4105" width="9.33203125" style="11" customWidth="1"/>
    <col min="4106" max="4352" width="9.109375" style="11"/>
    <col min="4353" max="4353" width="5.109375" style="11" customWidth="1"/>
    <col min="4354" max="4354" width="35" style="11" customWidth="1"/>
    <col min="4355" max="4355" width="5.6640625" style="11" customWidth="1"/>
    <col min="4356" max="4356" width="18.33203125" style="11" customWidth="1"/>
    <col min="4357" max="4357" width="10.109375" style="11" customWidth="1"/>
    <col min="4358" max="4358" width="12.33203125" style="11" customWidth="1"/>
    <col min="4359" max="4359" width="7.44140625" style="11" customWidth="1"/>
    <col min="4360" max="4361" width="9.33203125" style="11" customWidth="1"/>
    <col min="4362" max="4608" width="9.109375" style="11"/>
    <col min="4609" max="4609" width="5.109375" style="11" customWidth="1"/>
    <col min="4610" max="4610" width="35" style="11" customWidth="1"/>
    <col min="4611" max="4611" width="5.6640625" style="11" customWidth="1"/>
    <col min="4612" max="4612" width="18.33203125" style="11" customWidth="1"/>
    <col min="4613" max="4613" width="10.109375" style="11" customWidth="1"/>
    <col min="4614" max="4614" width="12.33203125" style="11" customWidth="1"/>
    <col min="4615" max="4615" width="7.44140625" style="11" customWidth="1"/>
    <col min="4616" max="4617" width="9.33203125" style="11" customWidth="1"/>
    <col min="4618" max="4864" width="9.109375" style="11"/>
    <col min="4865" max="4865" width="5.109375" style="11" customWidth="1"/>
    <col min="4866" max="4866" width="35" style="11" customWidth="1"/>
    <col min="4867" max="4867" width="5.6640625" style="11" customWidth="1"/>
    <col min="4868" max="4868" width="18.33203125" style="11" customWidth="1"/>
    <col min="4869" max="4869" width="10.109375" style="11" customWidth="1"/>
    <col min="4870" max="4870" width="12.33203125" style="11" customWidth="1"/>
    <col min="4871" max="4871" width="7.44140625" style="11" customWidth="1"/>
    <col min="4872" max="4873" width="9.33203125" style="11" customWidth="1"/>
    <col min="4874" max="5120" width="9.109375" style="11"/>
    <col min="5121" max="5121" width="5.109375" style="11" customWidth="1"/>
    <col min="5122" max="5122" width="35" style="11" customWidth="1"/>
    <col min="5123" max="5123" width="5.6640625" style="11" customWidth="1"/>
    <col min="5124" max="5124" width="18.33203125" style="11" customWidth="1"/>
    <col min="5125" max="5125" width="10.109375" style="11" customWidth="1"/>
    <col min="5126" max="5126" width="12.33203125" style="11" customWidth="1"/>
    <col min="5127" max="5127" width="7.44140625" style="11" customWidth="1"/>
    <col min="5128" max="5129" width="9.33203125" style="11" customWidth="1"/>
    <col min="5130" max="5376" width="9.109375" style="11"/>
    <col min="5377" max="5377" width="5.109375" style="11" customWidth="1"/>
    <col min="5378" max="5378" width="35" style="11" customWidth="1"/>
    <col min="5379" max="5379" width="5.6640625" style="11" customWidth="1"/>
    <col min="5380" max="5380" width="18.33203125" style="11" customWidth="1"/>
    <col min="5381" max="5381" width="10.109375" style="11" customWidth="1"/>
    <col min="5382" max="5382" width="12.33203125" style="11" customWidth="1"/>
    <col min="5383" max="5383" width="7.44140625" style="11" customWidth="1"/>
    <col min="5384" max="5385" width="9.33203125" style="11" customWidth="1"/>
    <col min="5386" max="5632" width="9.109375" style="11"/>
    <col min="5633" max="5633" width="5.109375" style="11" customWidth="1"/>
    <col min="5634" max="5634" width="35" style="11" customWidth="1"/>
    <col min="5635" max="5635" width="5.6640625" style="11" customWidth="1"/>
    <col min="5636" max="5636" width="18.33203125" style="11" customWidth="1"/>
    <col min="5637" max="5637" width="10.109375" style="11" customWidth="1"/>
    <col min="5638" max="5638" width="12.33203125" style="11" customWidth="1"/>
    <col min="5639" max="5639" width="7.44140625" style="11" customWidth="1"/>
    <col min="5640" max="5641" width="9.33203125" style="11" customWidth="1"/>
    <col min="5642" max="5888" width="9.109375" style="11"/>
    <col min="5889" max="5889" width="5.109375" style="11" customWidth="1"/>
    <col min="5890" max="5890" width="35" style="11" customWidth="1"/>
    <col min="5891" max="5891" width="5.6640625" style="11" customWidth="1"/>
    <col min="5892" max="5892" width="18.33203125" style="11" customWidth="1"/>
    <col min="5893" max="5893" width="10.109375" style="11" customWidth="1"/>
    <col min="5894" max="5894" width="12.33203125" style="11" customWidth="1"/>
    <col min="5895" max="5895" width="7.44140625" style="11" customWidth="1"/>
    <col min="5896" max="5897" width="9.33203125" style="11" customWidth="1"/>
    <col min="5898" max="6144" width="9.109375" style="11"/>
    <col min="6145" max="6145" width="5.109375" style="11" customWidth="1"/>
    <col min="6146" max="6146" width="35" style="11" customWidth="1"/>
    <col min="6147" max="6147" width="5.6640625" style="11" customWidth="1"/>
    <col min="6148" max="6148" width="18.33203125" style="11" customWidth="1"/>
    <col min="6149" max="6149" width="10.109375" style="11" customWidth="1"/>
    <col min="6150" max="6150" width="12.33203125" style="11" customWidth="1"/>
    <col min="6151" max="6151" width="7.44140625" style="11" customWidth="1"/>
    <col min="6152" max="6153" width="9.33203125" style="11" customWidth="1"/>
    <col min="6154" max="6400" width="9.109375" style="11"/>
    <col min="6401" max="6401" width="5.109375" style="11" customWidth="1"/>
    <col min="6402" max="6402" width="35" style="11" customWidth="1"/>
    <col min="6403" max="6403" width="5.6640625" style="11" customWidth="1"/>
    <col min="6404" max="6404" width="18.33203125" style="11" customWidth="1"/>
    <col min="6405" max="6405" width="10.109375" style="11" customWidth="1"/>
    <col min="6406" max="6406" width="12.33203125" style="11" customWidth="1"/>
    <col min="6407" max="6407" width="7.44140625" style="11" customWidth="1"/>
    <col min="6408" max="6409" width="9.33203125" style="11" customWidth="1"/>
    <col min="6410" max="6656" width="9.109375" style="11"/>
    <col min="6657" max="6657" width="5.109375" style="11" customWidth="1"/>
    <col min="6658" max="6658" width="35" style="11" customWidth="1"/>
    <col min="6659" max="6659" width="5.6640625" style="11" customWidth="1"/>
    <col min="6660" max="6660" width="18.33203125" style="11" customWidth="1"/>
    <col min="6661" max="6661" width="10.109375" style="11" customWidth="1"/>
    <col min="6662" max="6662" width="12.33203125" style="11" customWidth="1"/>
    <col min="6663" max="6663" width="7.44140625" style="11" customWidth="1"/>
    <col min="6664" max="6665" width="9.33203125" style="11" customWidth="1"/>
    <col min="6666" max="6912" width="9.109375" style="11"/>
    <col min="6913" max="6913" width="5.109375" style="11" customWidth="1"/>
    <col min="6914" max="6914" width="35" style="11" customWidth="1"/>
    <col min="6915" max="6915" width="5.6640625" style="11" customWidth="1"/>
    <col min="6916" max="6916" width="18.33203125" style="11" customWidth="1"/>
    <col min="6917" max="6917" width="10.109375" style="11" customWidth="1"/>
    <col min="6918" max="6918" width="12.33203125" style="11" customWidth="1"/>
    <col min="6919" max="6919" width="7.44140625" style="11" customWidth="1"/>
    <col min="6920" max="6921" width="9.33203125" style="11" customWidth="1"/>
    <col min="6922" max="7168" width="9.109375" style="11"/>
    <col min="7169" max="7169" width="5.109375" style="11" customWidth="1"/>
    <col min="7170" max="7170" width="35" style="11" customWidth="1"/>
    <col min="7171" max="7171" width="5.6640625" style="11" customWidth="1"/>
    <col min="7172" max="7172" width="18.33203125" style="11" customWidth="1"/>
    <col min="7173" max="7173" width="10.109375" style="11" customWidth="1"/>
    <col min="7174" max="7174" width="12.33203125" style="11" customWidth="1"/>
    <col min="7175" max="7175" width="7.44140625" style="11" customWidth="1"/>
    <col min="7176" max="7177" width="9.33203125" style="11" customWidth="1"/>
    <col min="7178" max="7424" width="9.109375" style="11"/>
    <col min="7425" max="7425" width="5.109375" style="11" customWidth="1"/>
    <col min="7426" max="7426" width="35" style="11" customWidth="1"/>
    <col min="7427" max="7427" width="5.6640625" style="11" customWidth="1"/>
    <col min="7428" max="7428" width="18.33203125" style="11" customWidth="1"/>
    <col min="7429" max="7429" width="10.109375" style="11" customWidth="1"/>
    <col min="7430" max="7430" width="12.33203125" style="11" customWidth="1"/>
    <col min="7431" max="7431" width="7.44140625" style="11" customWidth="1"/>
    <col min="7432" max="7433" width="9.33203125" style="11" customWidth="1"/>
    <col min="7434" max="7680" width="9.109375" style="11"/>
    <col min="7681" max="7681" width="5.109375" style="11" customWidth="1"/>
    <col min="7682" max="7682" width="35" style="11" customWidth="1"/>
    <col min="7683" max="7683" width="5.6640625" style="11" customWidth="1"/>
    <col min="7684" max="7684" width="18.33203125" style="11" customWidth="1"/>
    <col min="7685" max="7685" width="10.109375" style="11" customWidth="1"/>
    <col min="7686" max="7686" width="12.33203125" style="11" customWidth="1"/>
    <col min="7687" max="7687" width="7.44140625" style="11" customWidth="1"/>
    <col min="7688" max="7689" width="9.33203125" style="11" customWidth="1"/>
    <col min="7690" max="7936" width="9.109375" style="11"/>
    <col min="7937" max="7937" width="5.109375" style="11" customWidth="1"/>
    <col min="7938" max="7938" width="35" style="11" customWidth="1"/>
    <col min="7939" max="7939" width="5.6640625" style="11" customWidth="1"/>
    <col min="7940" max="7940" width="18.33203125" style="11" customWidth="1"/>
    <col min="7941" max="7941" width="10.109375" style="11" customWidth="1"/>
    <col min="7942" max="7942" width="12.33203125" style="11" customWidth="1"/>
    <col min="7943" max="7943" width="7.44140625" style="11" customWidth="1"/>
    <col min="7944" max="7945" width="9.33203125" style="11" customWidth="1"/>
    <col min="7946" max="8192" width="9.109375" style="11"/>
    <col min="8193" max="8193" width="5.109375" style="11" customWidth="1"/>
    <col min="8194" max="8194" width="35" style="11" customWidth="1"/>
    <col min="8195" max="8195" width="5.6640625" style="11" customWidth="1"/>
    <col min="8196" max="8196" width="18.33203125" style="11" customWidth="1"/>
    <col min="8197" max="8197" width="10.109375" style="11" customWidth="1"/>
    <col min="8198" max="8198" width="12.33203125" style="11" customWidth="1"/>
    <col min="8199" max="8199" width="7.44140625" style="11" customWidth="1"/>
    <col min="8200" max="8201" width="9.33203125" style="11" customWidth="1"/>
    <col min="8202" max="8448" width="9.109375" style="11"/>
    <col min="8449" max="8449" width="5.109375" style="11" customWidth="1"/>
    <col min="8450" max="8450" width="35" style="11" customWidth="1"/>
    <col min="8451" max="8451" width="5.6640625" style="11" customWidth="1"/>
    <col min="8452" max="8452" width="18.33203125" style="11" customWidth="1"/>
    <col min="8453" max="8453" width="10.109375" style="11" customWidth="1"/>
    <col min="8454" max="8454" width="12.33203125" style="11" customWidth="1"/>
    <col min="8455" max="8455" width="7.44140625" style="11" customWidth="1"/>
    <col min="8456" max="8457" width="9.33203125" style="11" customWidth="1"/>
    <col min="8458" max="8704" width="9.109375" style="11"/>
    <col min="8705" max="8705" width="5.109375" style="11" customWidth="1"/>
    <col min="8706" max="8706" width="35" style="11" customWidth="1"/>
    <col min="8707" max="8707" width="5.6640625" style="11" customWidth="1"/>
    <col min="8708" max="8708" width="18.33203125" style="11" customWidth="1"/>
    <col min="8709" max="8709" width="10.109375" style="11" customWidth="1"/>
    <col min="8710" max="8710" width="12.33203125" style="11" customWidth="1"/>
    <col min="8711" max="8711" width="7.44140625" style="11" customWidth="1"/>
    <col min="8712" max="8713" width="9.33203125" style="11" customWidth="1"/>
    <col min="8714" max="8960" width="9.109375" style="11"/>
    <col min="8961" max="8961" width="5.109375" style="11" customWidth="1"/>
    <col min="8962" max="8962" width="35" style="11" customWidth="1"/>
    <col min="8963" max="8963" width="5.6640625" style="11" customWidth="1"/>
    <col min="8964" max="8964" width="18.33203125" style="11" customWidth="1"/>
    <col min="8965" max="8965" width="10.109375" style="11" customWidth="1"/>
    <col min="8966" max="8966" width="12.33203125" style="11" customWidth="1"/>
    <col min="8967" max="8967" width="7.44140625" style="11" customWidth="1"/>
    <col min="8968" max="8969" width="9.33203125" style="11" customWidth="1"/>
    <col min="8970" max="9216" width="9.109375" style="11"/>
    <col min="9217" max="9217" width="5.109375" style="11" customWidth="1"/>
    <col min="9218" max="9218" width="35" style="11" customWidth="1"/>
    <col min="9219" max="9219" width="5.6640625" style="11" customWidth="1"/>
    <col min="9220" max="9220" width="18.33203125" style="11" customWidth="1"/>
    <col min="9221" max="9221" width="10.109375" style="11" customWidth="1"/>
    <col min="9222" max="9222" width="12.33203125" style="11" customWidth="1"/>
    <col min="9223" max="9223" width="7.44140625" style="11" customWidth="1"/>
    <col min="9224" max="9225" width="9.33203125" style="11" customWidth="1"/>
    <col min="9226" max="9472" width="9.109375" style="11"/>
    <col min="9473" max="9473" width="5.109375" style="11" customWidth="1"/>
    <col min="9474" max="9474" width="35" style="11" customWidth="1"/>
    <col min="9475" max="9475" width="5.6640625" style="11" customWidth="1"/>
    <col min="9476" max="9476" width="18.33203125" style="11" customWidth="1"/>
    <col min="9477" max="9477" width="10.109375" style="11" customWidth="1"/>
    <col min="9478" max="9478" width="12.33203125" style="11" customWidth="1"/>
    <col min="9479" max="9479" width="7.44140625" style="11" customWidth="1"/>
    <col min="9480" max="9481" width="9.33203125" style="11" customWidth="1"/>
    <col min="9482" max="9728" width="9.109375" style="11"/>
    <col min="9729" max="9729" width="5.109375" style="11" customWidth="1"/>
    <col min="9730" max="9730" width="35" style="11" customWidth="1"/>
    <col min="9731" max="9731" width="5.6640625" style="11" customWidth="1"/>
    <col min="9732" max="9732" width="18.33203125" style="11" customWidth="1"/>
    <col min="9733" max="9733" width="10.109375" style="11" customWidth="1"/>
    <col min="9734" max="9734" width="12.33203125" style="11" customWidth="1"/>
    <col min="9735" max="9735" width="7.44140625" style="11" customWidth="1"/>
    <col min="9736" max="9737" width="9.33203125" style="11" customWidth="1"/>
    <col min="9738" max="9984" width="9.109375" style="11"/>
    <col min="9985" max="9985" width="5.109375" style="11" customWidth="1"/>
    <col min="9986" max="9986" width="35" style="11" customWidth="1"/>
    <col min="9987" max="9987" width="5.6640625" style="11" customWidth="1"/>
    <col min="9988" max="9988" width="18.33203125" style="11" customWidth="1"/>
    <col min="9989" max="9989" width="10.109375" style="11" customWidth="1"/>
    <col min="9990" max="9990" width="12.33203125" style="11" customWidth="1"/>
    <col min="9991" max="9991" width="7.44140625" style="11" customWidth="1"/>
    <col min="9992" max="9993" width="9.33203125" style="11" customWidth="1"/>
    <col min="9994" max="10240" width="9.109375" style="11"/>
    <col min="10241" max="10241" width="5.109375" style="11" customWidth="1"/>
    <col min="10242" max="10242" width="35" style="11" customWidth="1"/>
    <col min="10243" max="10243" width="5.6640625" style="11" customWidth="1"/>
    <col min="10244" max="10244" width="18.33203125" style="11" customWidth="1"/>
    <col min="10245" max="10245" width="10.109375" style="11" customWidth="1"/>
    <col min="10246" max="10246" width="12.33203125" style="11" customWidth="1"/>
    <col min="10247" max="10247" width="7.44140625" style="11" customWidth="1"/>
    <col min="10248" max="10249" width="9.33203125" style="11" customWidth="1"/>
    <col min="10250" max="10496" width="9.109375" style="11"/>
    <col min="10497" max="10497" width="5.109375" style="11" customWidth="1"/>
    <col min="10498" max="10498" width="35" style="11" customWidth="1"/>
    <col min="10499" max="10499" width="5.6640625" style="11" customWidth="1"/>
    <col min="10500" max="10500" width="18.33203125" style="11" customWidth="1"/>
    <col min="10501" max="10501" width="10.109375" style="11" customWidth="1"/>
    <col min="10502" max="10502" width="12.33203125" style="11" customWidth="1"/>
    <col min="10503" max="10503" width="7.44140625" style="11" customWidth="1"/>
    <col min="10504" max="10505" width="9.33203125" style="11" customWidth="1"/>
    <col min="10506" max="10752" width="9.109375" style="11"/>
    <col min="10753" max="10753" width="5.109375" style="11" customWidth="1"/>
    <col min="10754" max="10754" width="35" style="11" customWidth="1"/>
    <col min="10755" max="10755" width="5.6640625" style="11" customWidth="1"/>
    <col min="10756" max="10756" width="18.33203125" style="11" customWidth="1"/>
    <col min="10757" max="10757" width="10.109375" style="11" customWidth="1"/>
    <col min="10758" max="10758" width="12.33203125" style="11" customWidth="1"/>
    <col min="10759" max="10759" width="7.44140625" style="11" customWidth="1"/>
    <col min="10760" max="10761" width="9.33203125" style="11" customWidth="1"/>
    <col min="10762" max="11008" width="9.109375" style="11"/>
    <col min="11009" max="11009" width="5.109375" style="11" customWidth="1"/>
    <col min="11010" max="11010" width="35" style="11" customWidth="1"/>
    <col min="11011" max="11011" width="5.6640625" style="11" customWidth="1"/>
    <col min="11012" max="11012" width="18.33203125" style="11" customWidth="1"/>
    <col min="11013" max="11013" width="10.109375" style="11" customWidth="1"/>
    <col min="11014" max="11014" width="12.33203125" style="11" customWidth="1"/>
    <col min="11015" max="11015" width="7.44140625" style="11" customWidth="1"/>
    <col min="11016" max="11017" width="9.33203125" style="11" customWidth="1"/>
    <col min="11018" max="11264" width="9.109375" style="11"/>
    <col min="11265" max="11265" width="5.109375" style="11" customWidth="1"/>
    <col min="11266" max="11266" width="35" style="11" customWidth="1"/>
    <col min="11267" max="11267" width="5.6640625" style="11" customWidth="1"/>
    <col min="11268" max="11268" width="18.33203125" style="11" customWidth="1"/>
    <col min="11269" max="11269" width="10.109375" style="11" customWidth="1"/>
    <col min="11270" max="11270" width="12.33203125" style="11" customWidth="1"/>
    <col min="11271" max="11271" width="7.44140625" style="11" customWidth="1"/>
    <col min="11272" max="11273" width="9.33203125" style="11" customWidth="1"/>
    <col min="11274" max="11520" width="9.109375" style="11"/>
    <col min="11521" max="11521" width="5.109375" style="11" customWidth="1"/>
    <col min="11522" max="11522" width="35" style="11" customWidth="1"/>
    <col min="11523" max="11523" width="5.6640625" style="11" customWidth="1"/>
    <col min="11524" max="11524" width="18.33203125" style="11" customWidth="1"/>
    <col min="11525" max="11525" width="10.109375" style="11" customWidth="1"/>
    <col min="11526" max="11526" width="12.33203125" style="11" customWidth="1"/>
    <col min="11527" max="11527" width="7.44140625" style="11" customWidth="1"/>
    <col min="11528" max="11529" width="9.33203125" style="11" customWidth="1"/>
    <col min="11530" max="11776" width="9.109375" style="11"/>
    <col min="11777" max="11777" width="5.109375" style="11" customWidth="1"/>
    <col min="11778" max="11778" width="35" style="11" customWidth="1"/>
    <col min="11779" max="11779" width="5.6640625" style="11" customWidth="1"/>
    <col min="11780" max="11780" width="18.33203125" style="11" customWidth="1"/>
    <col min="11781" max="11781" width="10.109375" style="11" customWidth="1"/>
    <col min="11782" max="11782" width="12.33203125" style="11" customWidth="1"/>
    <col min="11783" max="11783" width="7.44140625" style="11" customWidth="1"/>
    <col min="11784" max="11785" width="9.33203125" style="11" customWidth="1"/>
    <col min="11786" max="12032" width="9.109375" style="11"/>
    <col min="12033" max="12033" width="5.109375" style="11" customWidth="1"/>
    <col min="12034" max="12034" width="35" style="11" customWidth="1"/>
    <col min="12035" max="12035" width="5.6640625" style="11" customWidth="1"/>
    <col min="12036" max="12036" width="18.33203125" style="11" customWidth="1"/>
    <col min="12037" max="12037" width="10.109375" style="11" customWidth="1"/>
    <col min="12038" max="12038" width="12.33203125" style="11" customWidth="1"/>
    <col min="12039" max="12039" width="7.44140625" style="11" customWidth="1"/>
    <col min="12040" max="12041" width="9.33203125" style="11" customWidth="1"/>
    <col min="12042" max="12288" width="9.109375" style="11"/>
    <col min="12289" max="12289" width="5.109375" style="11" customWidth="1"/>
    <col min="12290" max="12290" width="35" style="11" customWidth="1"/>
    <col min="12291" max="12291" width="5.6640625" style="11" customWidth="1"/>
    <col min="12292" max="12292" width="18.33203125" style="11" customWidth="1"/>
    <col min="12293" max="12293" width="10.109375" style="11" customWidth="1"/>
    <col min="12294" max="12294" width="12.33203125" style="11" customWidth="1"/>
    <col min="12295" max="12295" width="7.44140625" style="11" customWidth="1"/>
    <col min="12296" max="12297" width="9.33203125" style="11" customWidth="1"/>
    <col min="12298" max="12544" width="9.109375" style="11"/>
    <col min="12545" max="12545" width="5.109375" style="11" customWidth="1"/>
    <col min="12546" max="12546" width="35" style="11" customWidth="1"/>
    <col min="12547" max="12547" width="5.6640625" style="11" customWidth="1"/>
    <col min="12548" max="12548" width="18.33203125" style="11" customWidth="1"/>
    <col min="12549" max="12549" width="10.109375" style="11" customWidth="1"/>
    <col min="12550" max="12550" width="12.33203125" style="11" customWidth="1"/>
    <col min="12551" max="12551" width="7.44140625" style="11" customWidth="1"/>
    <col min="12552" max="12553" width="9.33203125" style="11" customWidth="1"/>
    <col min="12554" max="12800" width="9.109375" style="11"/>
    <col min="12801" max="12801" width="5.109375" style="11" customWidth="1"/>
    <col min="12802" max="12802" width="35" style="11" customWidth="1"/>
    <col min="12803" max="12803" width="5.6640625" style="11" customWidth="1"/>
    <col min="12804" max="12804" width="18.33203125" style="11" customWidth="1"/>
    <col min="12805" max="12805" width="10.109375" style="11" customWidth="1"/>
    <col min="12806" max="12806" width="12.33203125" style="11" customWidth="1"/>
    <col min="12807" max="12807" width="7.44140625" style="11" customWidth="1"/>
    <col min="12808" max="12809" width="9.33203125" style="11" customWidth="1"/>
    <col min="12810" max="13056" width="9.109375" style="11"/>
    <col min="13057" max="13057" width="5.109375" style="11" customWidth="1"/>
    <col min="13058" max="13058" width="35" style="11" customWidth="1"/>
    <col min="13059" max="13059" width="5.6640625" style="11" customWidth="1"/>
    <col min="13060" max="13060" width="18.33203125" style="11" customWidth="1"/>
    <col min="13061" max="13061" width="10.109375" style="11" customWidth="1"/>
    <col min="13062" max="13062" width="12.33203125" style="11" customWidth="1"/>
    <col min="13063" max="13063" width="7.44140625" style="11" customWidth="1"/>
    <col min="13064" max="13065" width="9.33203125" style="11" customWidth="1"/>
    <col min="13066" max="13312" width="9.109375" style="11"/>
    <col min="13313" max="13313" width="5.109375" style="11" customWidth="1"/>
    <col min="13314" max="13314" width="35" style="11" customWidth="1"/>
    <col min="13315" max="13315" width="5.6640625" style="11" customWidth="1"/>
    <col min="13316" max="13316" width="18.33203125" style="11" customWidth="1"/>
    <col min="13317" max="13317" width="10.109375" style="11" customWidth="1"/>
    <col min="13318" max="13318" width="12.33203125" style="11" customWidth="1"/>
    <col min="13319" max="13319" width="7.44140625" style="11" customWidth="1"/>
    <col min="13320" max="13321" width="9.33203125" style="11" customWidth="1"/>
    <col min="13322" max="13568" width="9.109375" style="11"/>
    <col min="13569" max="13569" width="5.109375" style="11" customWidth="1"/>
    <col min="13570" max="13570" width="35" style="11" customWidth="1"/>
    <col min="13571" max="13571" width="5.6640625" style="11" customWidth="1"/>
    <col min="13572" max="13572" width="18.33203125" style="11" customWidth="1"/>
    <col min="13573" max="13573" width="10.109375" style="11" customWidth="1"/>
    <col min="13574" max="13574" width="12.33203125" style="11" customWidth="1"/>
    <col min="13575" max="13575" width="7.44140625" style="11" customWidth="1"/>
    <col min="13576" max="13577" width="9.33203125" style="11" customWidth="1"/>
    <col min="13578" max="13824" width="9.109375" style="11"/>
    <col min="13825" max="13825" width="5.109375" style="11" customWidth="1"/>
    <col min="13826" max="13826" width="35" style="11" customWidth="1"/>
    <col min="13827" max="13827" width="5.6640625" style="11" customWidth="1"/>
    <col min="13828" max="13828" width="18.33203125" style="11" customWidth="1"/>
    <col min="13829" max="13829" width="10.109375" style="11" customWidth="1"/>
    <col min="13830" max="13830" width="12.33203125" style="11" customWidth="1"/>
    <col min="13831" max="13831" width="7.44140625" style="11" customWidth="1"/>
    <col min="13832" max="13833" width="9.33203125" style="11" customWidth="1"/>
    <col min="13834" max="14080" width="9.109375" style="11"/>
    <col min="14081" max="14081" width="5.109375" style="11" customWidth="1"/>
    <col min="14082" max="14082" width="35" style="11" customWidth="1"/>
    <col min="14083" max="14083" width="5.6640625" style="11" customWidth="1"/>
    <col min="14084" max="14084" width="18.33203125" style="11" customWidth="1"/>
    <col min="14085" max="14085" width="10.109375" style="11" customWidth="1"/>
    <col min="14086" max="14086" width="12.33203125" style="11" customWidth="1"/>
    <col min="14087" max="14087" width="7.44140625" style="11" customWidth="1"/>
    <col min="14088" max="14089" width="9.33203125" style="11" customWidth="1"/>
    <col min="14090" max="14336" width="9.109375" style="11"/>
    <col min="14337" max="14337" width="5.109375" style="11" customWidth="1"/>
    <col min="14338" max="14338" width="35" style="11" customWidth="1"/>
    <col min="14339" max="14339" width="5.6640625" style="11" customWidth="1"/>
    <col min="14340" max="14340" width="18.33203125" style="11" customWidth="1"/>
    <col min="14341" max="14341" width="10.109375" style="11" customWidth="1"/>
    <col min="14342" max="14342" width="12.33203125" style="11" customWidth="1"/>
    <col min="14343" max="14343" width="7.44140625" style="11" customWidth="1"/>
    <col min="14344" max="14345" width="9.33203125" style="11" customWidth="1"/>
    <col min="14346" max="14592" width="9.109375" style="11"/>
    <col min="14593" max="14593" width="5.109375" style="11" customWidth="1"/>
    <col min="14594" max="14594" width="35" style="11" customWidth="1"/>
    <col min="14595" max="14595" width="5.6640625" style="11" customWidth="1"/>
    <col min="14596" max="14596" width="18.33203125" style="11" customWidth="1"/>
    <col min="14597" max="14597" width="10.109375" style="11" customWidth="1"/>
    <col min="14598" max="14598" width="12.33203125" style="11" customWidth="1"/>
    <col min="14599" max="14599" width="7.44140625" style="11" customWidth="1"/>
    <col min="14600" max="14601" width="9.33203125" style="11" customWidth="1"/>
    <col min="14602" max="14848" width="9.109375" style="11"/>
    <col min="14849" max="14849" width="5.109375" style="11" customWidth="1"/>
    <col min="14850" max="14850" width="35" style="11" customWidth="1"/>
    <col min="14851" max="14851" width="5.6640625" style="11" customWidth="1"/>
    <col min="14852" max="14852" width="18.33203125" style="11" customWidth="1"/>
    <col min="14853" max="14853" width="10.109375" style="11" customWidth="1"/>
    <col min="14854" max="14854" width="12.33203125" style="11" customWidth="1"/>
    <col min="14855" max="14855" width="7.44140625" style="11" customWidth="1"/>
    <col min="14856" max="14857" width="9.33203125" style="11" customWidth="1"/>
    <col min="14858" max="15104" width="9.109375" style="11"/>
    <col min="15105" max="15105" width="5.109375" style="11" customWidth="1"/>
    <col min="15106" max="15106" width="35" style="11" customWidth="1"/>
    <col min="15107" max="15107" width="5.6640625" style="11" customWidth="1"/>
    <col min="15108" max="15108" width="18.33203125" style="11" customWidth="1"/>
    <col min="15109" max="15109" width="10.109375" style="11" customWidth="1"/>
    <col min="15110" max="15110" width="12.33203125" style="11" customWidth="1"/>
    <col min="15111" max="15111" width="7.44140625" style="11" customWidth="1"/>
    <col min="15112" max="15113" width="9.33203125" style="11" customWidth="1"/>
    <col min="15114" max="15360" width="9.109375" style="11"/>
    <col min="15361" max="15361" width="5.109375" style="11" customWidth="1"/>
    <col min="15362" max="15362" width="35" style="11" customWidth="1"/>
    <col min="15363" max="15363" width="5.6640625" style="11" customWidth="1"/>
    <col min="15364" max="15364" width="18.33203125" style="11" customWidth="1"/>
    <col min="15365" max="15365" width="10.109375" style="11" customWidth="1"/>
    <col min="15366" max="15366" width="12.33203125" style="11" customWidth="1"/>
    <col min="15367" max="15367" width="7.44140625" style="11" customWidth="1"/>
    <col min="15368" max="15369" width="9.33203125" style="11" customWidth="1"/>
    <col min="15370" max="15616" width="9.109375" style="11"/>
    <col min="15617" max="15617" width="5.109375" style="11" customWidth="1"/>
    <col min="15618" max="15618" width="35" style="11" customWidth="1"/>
    <col min="15619" max="15619" width="5.6640625" style="11" customWidth="1"/>
    <col min="15620" max="15620" width="18.33203125" style="11" customWidth="1"/>
    <col min="15621" max="15621" width="10.109375" style="11" customWidth="1"/>
    <col min="15622" max="15622" width="12.33203125" style="11" customWidth="1"/>
    <col min="15623" max="15623" width="7.44140625" style="11" customWidth="1"/>
    <col min="15624" max="15625" width="9.33203125" style="11" customWidth="1"/>
    <col min="15626" max="15872" width="9.109375" style="11"/>
    <col min="15873" max="15873" width="5.109375" style="11" customWidth="1"/>
    <col min="15874" max="15874" width="35" style="11" customWidth="1"/>
    <col min="15875" max="15875" width="5.6640625" style="11" customWidth="1"/>
    <col min="15876" max="15876" width="18.33203125" style="11" customWidth="1"/>
    <col min="15877" max="15877" width="10.109375" style="11" customWidth="1"/>
    <col min="15878" max="15878" width="12.33203125" style="11" customWidth="1"/>
    <col min="15879" max="15879" width="7.44140625" style="11" customWidth="1"/>
    <col min="15880" max="15881" width="9.33203125" style="11" customWidth="1"/>
    <col min="15882" max="16128" width="9.109375" style="11"/>
    <col min="16129" max="16129" width="5.109375" style="11" customWidth="1"/>
    <col min="16130" max="16130" width="35" style="11" customWidth="1"/>
    <col min="16131" max="16131" width="5.6640625" style="11" customWidth="1"/>
    <col min="16132" max="16132" width="18.33203125" style="11" customWidth="1"/>
    <col min="16133" max="16133" width="10.109375" style="11" customWidth="1"/>
    <col min="16134" max="16134" width="12.33203125" style="11" customWidth="1"/>
    <col min="16135" max="16135" width="7.44140625" style="11" customWidth="1"/>
    <col min="16136" max="16137" width="9.33203125" style="11" customWidth="1"/>
    <col min="16138" max="16384" width="9.109375" style="11"/>
  </cols>
  <sheetData>
    <row r="1" spans="1:9" s="9" customFormat="1" ht="15.6">
      <c r="A1" s="324" t="s">
        <v>137</v>
      </c>
      <c r="B1" s="324"/>
      <c r="C1" s="324"/>
      <c r="D1" s="324"/>
      <c r="E1" s="324"/>
      <c r="F1" s="324"/>
      <c r="G1" s="324"/>
    </row>
    <row r="2" spans="1:9" s="9" customFormat="1">
      <c r="A2" s="323" t="s">
        <v>587</v>
      </c>
      <c r="B2" s="323"/>
      <c r="C2" s="323"/>
      <c r="D2" s="323"/>
      <c r="E2" s="323"/>
      <c r="F2" s="323"/>
      <c r="G2" s="323"/>
    </row>
    <row r="3" spans="1:9" s="9" customFormat="1">
      <c r="D3" s="8"/>
    </row>
    <row r="4" spans="1:9" s="9" customFormat="1">
      <c r="A4" s="34" t="s">
        <v>138</v>
      </c>
      <c r="B4" s="34" t="s">
        <v>139</v>
      </c>
      <c r="C4" s="34" t="s">
        <v>22</v>
      </c>
      <c r="D4" s="34" t="s">
        <v>140</v>
      </c>
      <c r="E4" s="34" t="s">
        <v>141</v>
      </c>
      <c r="F4" s="35" t="s">
        <v>11</v>
      </c>
      <c r="G4" s="36" t="s">
        <v>142</v>
      </c>
      <c r="H4" s="1"/>
      <c r="I4" s="1"/>
    </row>
    <row r="5" spans="1:9" s="9" customFormat="1">
      <c r="A5" s="56"/>
      <c r="B5" s="56"/>
      <c r="C5" s="56"/>
      <c r="D5" s="56"/>
      <c r="E5" s="56"/>
      <c r="F5" s="37" t="s">
        <v>143</v>
      </c>
      <c r="G5" s="38"/>
    </row>
    <row r="6" spans="1:9" s="9" customFormat="1">
      <c r="A6" s="39">
        <v>1</v>
      </c>
      <c r="B6" s="39">
        <v>2</v>
      </c>
      <c r="C6" s="39">
        <v>3</v>
      </c>
      <c r="D6" s="39">
        <v>4</v>
      </c>
      <c r="E6" s="39">
        <v>5</v>
      </c>
      <c r="F6" s="39">
        <v>9</v>
      </c>
      <c r="G6" s="39">
        <v>10</v>
      </c>
      <c r="H6" s="1"/>
      <c r="I6" s="1"/>
    </row>
    <row r="7" spans="1:9">
      <c r="D7" s="40"/>
    </row>
    <row r="8" spans="1:9" ht="82.8">
      <c r="A8" s="41">
        <v>1</v>
      </c>
      <c r="B8" s="6" t="s">
        <v>144</v>
      </c>
      <c r="C8" s="1" t="s">
        <v>12</v>
      </c>
      <c r="D8" s="1" t="s">
        <v>145</v>
      </c>
      <c r="E8" s="5">
        <v>286.85000000000002</v>
      </c>
      <c r="F8" s="5">
        <f>SUM(E8)</f>
        <v>286.85000000000002</v>
      </c>
      <c r="H8" s="42"/>
    </row>
    <row r="9" spans="1:9">
      <c r="A9" s="7"/>
      <c r="D9" s="1"/>
      <c r="E9" s="5"/>
      <c r="F9" s="1"/>
    </row>
    <row r="10" spans="1:9">
      <c r="A10" s="41">
        <f>1+A8</f>
        <v>2</v>
      </c>
      <c r="B10" s="8" t="s">
        <v>146</v>
      </c>
      <c r="C10" s="1" t="s">
        <v>12</v>
      </c>
      <c r="D10" s="1" t="s">
        <v>805</v>
      </c>
      <c r="E10" s="5">
        <f>E8+(1.5*127)</f>
        <v>477.35</v>
      </c>
      <c r="F10" s="5">
        <f>SUM(E10)</f>
        <v>477.35</v>
      </c>
    </row>
    <row r="11" spans="1:9">
      <c r="A11" s="7"/>
      <c r="D11" s="1"/>
      <c r="E11" s="1"/>
      <c r="F11" s="1"/>
    </row>
    <row r="12" spans="1:9">
      <c r="A12" s="43"/>
      <c r="B12" s="44" t="s">
        <v>14</v>
      </c>
      <c r="D12" s="1"/>
      <c r="E12" s="1"/>
      <c r="F12" s="1"/>
    </row>
    <row r="13" spans="1:9">
      <c r="A13" s="41">
        <f>1+A10</f>
        <v>3</v>
      </c>
      <c r="B13" s="6" t="s">
        <v>147</v>
      </c>
      <c r="C13" s="1" t="s">
        <v>12</v>
      </c>
      <c r="D13" s="1" t="s">
        <v>148</v>
      </c>
      <c r="E13" s="1">
        <v>253.95</v>
      </c>
      <c r="F13" s="5">
        <f>SUM(E13)</f>
        <v>253.95</v>
      </c>
    </row>
    <row r="14" spans="1:9">
      <c r="A14" s="43"/>
      <c r="B14" s="6"/>
      <c r="C14" s="1"/>
      <c r="D14" s="1"/>
      <c r="E14" s="1"/>
      <c r="F14" s="1"/>
    </row>
    <row r="15" spans="1:9">
      <c r="A15" s="41">
        <f>1+A13</f>
        <v>4</v>
      </c>
      <c r="B15" s="6" t="s">
        <v>149</v>
      </c>
      <c r="C15" s="1" t="s">
        <v>12</v>
      </c>
      <c r="D15" s="1" t="s">
        <v>150</v>
      </c>
      <c r="E15" s="1">
        <v>368.65</v>
      </c>
      <c r="F15" s="5">
        <f>SUM(E15)</f>
        <v>368.65</v>
      </c>
    </row>
    <row r="16" spans="1:9">
      <c r="A16" s="41"/>
      <c r="B16" s="45"/>
      <c r="C16" s="1"/>
      <c r="D16" s="1"/>
      <c r="E16" s="5"/>
      <c r="F16" s="5"/>
    </row>
    <row r="17" spans="1:6">
      <c r="A17" s="41">
        <f>1+A15</f>
        <v>5</v>
      </c>
      <c r="B17" s="6" t="s">
        <v>155</v>
      </c>
      <c r="C17" s="1" t="s">
        <v>12</v>
      </c>
      <c r="D17" s="1" t="s">
        <v>156</v>
      </c>
      <c r="E17" s="1">
        <v>1302.3</v>
      </c>
      <c r="F17" s="5">
        <f>SUM(E17)</f>
        <v>1302.3</v>
      </c>
    </row>
    <row r="18" spans="1:6">
      <c r="A18" s="41"/>
      <c r="B18" s="6"/>
      <c r="C18" s="1"/>
      <c r="D18" s="1"/>
      <c r="E18" s="1"/>
      <c r="F18" s="5"/>
    </row>
    <row r="19" spans="1:6">
      <c r="A19" s="41">
        <f>1+A17</f>
        <v>6</v>
      </c>
      <c r="B19" s="6" t="s">
        <v>151</v>
      </c>
      <c r="C19" s="1" t="s">
        <v>12</v>
      </c>
      <c r="D19" s="1" t="s">
        <v>152</v>
      </c>
      <c r="E19" s="5">
        <v>888.3</v>
      </c>
      <c r="F19" s="5">
        <f>SUM(E19)</f>
        <v>888.3</v>
      </c>
    </row>
    <row r="20" spans="1:6">
      <c r="A20" s="41"/>
      <c r="B20" s="6"/>
      <c r="C20" s="1"/>
      <c r="D20" s="1"/>
      <c r="E20" s="5"/>
      <c r="F20" s="5"/>
    </row>
    <row r="21" spans="1:6">
      <c r="A21" s="41">
        <f>1+A19</f>
        <v>7</v>
      </c>
      <c r="B21" s="6" t="s">
        <v>153</v>
      </c>
      <c r="C21" s="1" t="s">
        <v>12</v>
      </c>
      <c r="D21" s="1" t="s">
        <v>154</v>
      </c>
      <c r="E21" s="5">
        <v>2803.65</v>
      </c>
      <c r="F21" s="5">
        <f>SUM(E21)</f>
        <v>2803.65</v>
      </c>
    </row>
    <row r="22" spans="1:6">
      <c r="A22" s="41"/>
      <c r="B22" s="6"/>
      <c r="C22" s="1"/>
      <c r="D22" s="1"/>
      <c r="E22" s="5"/>
      <c r="F22" s="5"/>
    </row>
    <row r="23" spans="1:6">
      <c r="A23" s="41">
        <f>1+A21</f>
        <v>8</v>
      </c>
      <c r="B23" s="6" t="s">
        <v>157</v>
      </c>
      <c r="C23" s="1" t="s">
        <v>12</v>
      </c>
      <c r="D23" s="1" t="s">
        <v>158</v>
      </c>
      <c r="E23" s="1">
        <v>6326.05</v>
      </c>
      <c r="F23" s="5">
        <f>SUM(E23)</f>
        <v>6326.05</v>
      </c>
    </row>
    <row r="24" spans="1:6">
      <c r="A24" s="18"/>
      <c r="D24" s="1"/>
      <c r="E24" s="1"/>
      <c r="F24" s="5"/>
    </row>
    <row r="25" spans="1:6">
      <c r="A25" s="41">
        <f>1+A23</f>
        <v>9</v>
      </c>
      <c r="B25" s="6" t="s">
        <v>159</v>
      </c>
      <c r="D25" s="1"/>
      <c r="E25" s="1"/>
      <c r="F25" s="1"/>
    </row>
    <row r="26" spans="1:6">
      <c r="A26" s="18"/>
      <c r="B26" s="46" t="s">
        <v>51</v>
      </c>
      <c r="C26" s="1" t="s">
        <v>12</v>
      </c>
      <c r="D26" s="1" t="s">
        <v>160</v>
      </c>
      <c r="E26" s="1">
        <v>7365.15</v>
      </c>
      <c r="F26" s="5">
        <f>SUM(E26)</f>
        <v>7365.15</v>
      </c>
    </row>
    <row r="27" spans="1:6">
      <c r="A27" s="18"/>
      <c r="B27" s="46" t="s">
        <v>445</v>
      </c>
      <c r="C27" s="1" t="s">
        <v>12</v>
      </c>
      <c r="D27" s="1" t="s">
        <v>160</v>
      </c>
      <c r="E27" s="1">
        <v>7365.15</v>
      </c>
      <c r="F27" s="5">
        <f>SUM(E27)</f>
        <v>7365.15</v>
      </c>
    </row>
    <row r="28" spans="1:6">
      <c r="A28" s="18"/>
      <c r="B28" s="46" t="s">
        <v>52</v>
      </c>
      <c r="C28" s="1" t="s">
        <v>12</v>
      </c>
      <c r="D28" s="1" t="s">
        <v>160</v>
      </c>
      <c r="E28" s="1">
        <v>7365.15</v>
      </c>
      <c r="F28" s="5">
        <f>SUM(E28)</f>
        <v>7365.15</v>
      </c>
    </row>
    <row r="29" spans="1:6">
      <c r="A29" s="18"/>
      <c r="D29" s="1"/>
      <c r="E29" s="5"/>
      <c r="F29" s="5"/>
    </row>
    <row r="30" spans="1:6">
      <c r="A30" s="18"/>
      <c r="B30" s="6" t="s">
        <v>161</v>
      </c>
      <c r="D30" s="1"/>
      <c r="E30" s="5"/>
      <c r="F30" s="5"/>
    </row>
    <row r="31" spans="1:6">
      <c r="A31" s="18"/>
      <c r="B31" s="45" t="s">
        <v>162</v>
      </c>
      <c r="D31" s="1"/>
      <c r="E31" s="5"/>
      <c r="F31" s="5"/>
    </row>
    <row r="32" spans="1:6">
      <c r="A32" s="41">
        <f>1+A25</f>
        <v>10</v>
      </c>
      <c r="B32" s="9" t="s">
        <v>163</v>
      </c>
      <c r="C32" s="1" t="s">
        <v>12</v>
      </c>
      <c r="D32" s="1" t="s">
        <v>164</v>
      </c>
      <c r="E32" s="5">
        <v>7997.3</v>
      </c>
      <c r="F32" s="5">
        <f>SUM(E32)</f>
        <v>7997.3</v>
      </c>
    </row>
    <row r="33" spans="1:6">
      <c r="A33" s="18"/>
      <c r="D33" s="1"/>
      <c r="E33" s="1"/>
      <c r="F33" s="5"/>
    </row>
    <row r="34" spans="1:6" ht="27.6">
      <c r="A34" s="41">
        <f>1+A32</f>
        <v>11</v>
      </c>
      <c r="B34" s="6" t="s">
        <v>165</v>
      </c>
      <c r="C34" s="11"/>
      <c r="D34" s="11"/>
    </row>
    <row r="35" spans="1:6">
      <c r="A35" s="41"/>
      <c r="B35" s="46" t="s">
        <v>51</v>
      </c>
      <c r="C35" s="1" t="s">
        <v>12</v>
      </c>
      <c r="D35" s="1" t="s">
        <v>164</v>
      </c>
      <c r="E35" s="5">
        <v>7997.3</v>
      </c>
      <c r="F35" s="5">
        <f>SUM(E35)</f>
        <v>7997.3</v>
      </c>
    </row>
    <row r="36" spans="1:6">
      <c r="A36" s="41"/>
      <c r="B36" s="46" t="s">
        <v>445</v>
      </c>
      <c r="C36" s="1" t="s">
        <v>12</v>
      </c>
      <c r="D36" s="1" t="s">
        <v>164</v>
      </c>
      <c r="E36" s="5">
        <v>7997.3</v>
      </c>
      <c r="F36" s="5">
        <f>SUM(E36)</f>
        <v>7997.3</v>
      </c>
    </row>
    <row r="37" spans="1:6">
      <c r="A37" s="41"/>
      <c r="B37" s="46" t="s">
        <v>52</v>
      </c>
      <c r="C37" s="1" t="s">
        <v>12</v>
      </c>
      <c r="D37" s="1" t="s">
        <v>164</v>
      </c>
      <c r="E37" s="5">
        <v>7997.3</v>
      </c>
      <c r="F37" s="5">
        <f>SUM(E37)</f>
        <v>7997.3</v>
      </c>
    </row>
    <row r="38" spans="1:6">
      <c r="A38" s="18"/>
      <c r="D38" s="1"/>
      <c r="E38" s="1"/>
      <c r="F38" s="5"/>
    </row>
    <row r="39" spans="1:6">
      <c r="A39" s="41">
        <f>1+A34</f>
        <v>12</v>
      </c>
      <c r="B39" s="11" t="s">
        <v>166</v>
      </c>
      <c r="C39" s="1" t="s">
        <v>12</v>
      </c>
      <c r="D39" s="1" t="s">
        <v>164</v>
      </c>
      <c r="E39" s="5">
        <v>7997.3</v>
      </c>
      <c r="F39" s="5">
        <f>SUM(E39)</f>
        <v>7997.3</v>
      </c>
    </row>
    <row r="40" spans="1:6">
      <c r="A40" s="18"/>
      <c r="D40" s="1"/>
      <c r="E40" s="5"/>
      <c r="F40" s="5"/>
    </row>
    <row r="41" spans="1:6">
      <c r="A41" s="18">
        <f>A39+1</f>
        <v>13</v>
      </c>
      <c r="B41" s="11" t="s">
        <v>298</v>
      </c>
      <c r="C41" s="11"/>
      <c r="D41" s="11"/>
    </row>
    <row r="42" spans="1:6">
      <c r="A42" s="18"/>
      <c r="B42" s="46" t="s">
        <v>51</v>
      </c>
      <c r="C42" s="1" t="s">
        <v>12</v>
      </c>
      <c r="D42" s="1" t="s">
        <v>164</v>
      </c>
      <c r="E42" s="5">
        <v>7997.3</v>
      </c>
      <c r="F42" s="5">
        <f>SUM(E42)</f>
        <v>7997.3</v>
      </c>
    </row>
    <row r="43" spans="1:6">
      <c r="A43" s="18"/>
      <c r="B43" s="46" t="s">
        <v>445</v>
      </c>
      <c r="C43" s="1" t="s">
        <v>12</v>
      </c>
      <c r="D43" s="1" t="s">
        <v>164</v>
      </c>
      <c r="E43" s="5">
        <v>7997.3</v>
      </c>
      <c r="F43" s="5">
        <f>SUM(E43)</f>
        <v>7997.3</v>
      </c>
    </row>
    <row r="44" spans="1:6">
      <c r="A44" s="18"/>
      <c r="B44" s="46" t="s">
        <v>52</v>
      </c>
      <c r="C44" s="1" t="s">
        <v>12</v>
      </c>
      <c r="D44" s="1" t="s">
        <v>164</v>
      </c>
      <c r="E44" s="5">
        <v>7997.3</v>
      </c>
      <c r="F44" s="5">
        <f>SUM(E44)</f>
        <v>7997.3</v>
      </c>
    </row>
    <row r="45" spans="1:6">
      <c r="A45" s="18"/>
      <c r="D45" s="1"/>
      <c r="E45" s="5"/>
      <c r="F45" s="5"/>
    </row>
    <row r="46" spans="1:6">
      <c r="A46" s="18">
        <f>A41+1</f>
        <v>14</v>
      </c>
      <c r="B46" s="11" t="s">
        <v>299</v>
      </c>
      <c r="D46" s="1"/>
      <c r="E46" s="5"/>
      <c r="F46" s="5"/>
    </row>
    <row r="47" spans="1:6">
      <c r="A47" s="18"/>
      <c r="B47" s="46" t="s">
        <v>51</v>
      </c>
      <c r="C47" s="1" t="s">
        <v>12</v>
      </c>
      <c r="D47" s="1" t="s">
        <v>164</v>
      </c>
      <c r="E47" s="5">
        <v>7997.3</v>
      </c>
      <c r="F47" s="5">
        <f>SUM(E47)</f>
        <v>7997.3</v>
      </c>
    </row>
    <row r="48" spans="1:6">
      <c r="A48" s="18"/>
      <c r="B48" s="46" t="s">
        <v>445</v>
      </c>
      <c r="C48" s="1" t="s">
        <v>12</v>
      </c>
      <c r="D48" s="1" t="s">
        <v>164</v>
      </c>
      <c r="E48" s="5">
        <v>7997.3</v>
      </c>
      <c r="F48" s="5">
        <f>SUM(E48)</f>
        <v>7997.3</v>
      </c>
    </row>
    <row r="49" spans="1:6">
      <c r="A49" s="18"/>
      <c r="B49" s="46" t="s">
        <v>52</v>
      </c>
      <c r="C49" s="1" t="s">
        <v>12</v>
      </c>
      <c r="D49" s="1" t="s">
        <v>164</v>
      </c>
      <c r="E49" s="5">
        <v>7997.3</v>
      </c>
      <c r="F49" s="5">
        <f>SUM(E49)</f>
        <v>7997.3</v>
      </c>
    </row>
    <row r="50" spans="1:6">
      <c r="A50" s="18"/>
      <c r="D50" s="1"/>
      <c r="E50" s="5"/>
      <c r="F50" s="5"/>
    </row>
    <row r="51" spans="1:6">
      <c r="A51" s="18">
        <f>A46+1</f>
        <v>15</v>
      </c>
      <c r="B51" s="11" t="s">
        <v>167</v>
      </c>
      <c r="C51" s="1" t="s">
        <v>12</v>
      </c>
      <c r="D51" s="1" t="s">
        <v>164</v>
      </c>
      <c r="E51" s="5">
        <v>7997.3</v>
      </c>
      <c r="F51" s="5">
        <f>SUM(E51)</f>
        <v>7997.3</v>
      </c>
    </row>
    <row r="52" spans="1:6">
      <c r="A52" s="18"/>
      <c r="D52" s="1"/>
      <c r="E52" s="1"/>
      <c r="F52" s="5"/>
    </row>
    <row r="53" spans="1:6">
      <c r="A53" s="18">
        <f>A51+1</f>
        <v>16</v>
      </c>
      <c r="B53" s="11" t="s">
        <v>300</v>
      </c>
      <c r="D53" s="1"/>
      <c r="E53" s="1"/>
      <c r="F53" s="5"/>
    </row>
    <row r="54" spans="1:6">
      <c r="A54" s="18"/>
      <c r="B54" s="46" t="s">
        <v>51</v>
      </c>
      <c r="C54" s="1" t="s">
        <v>12</v>
      </c>
      <c r="D54" s="1" t="s">
        <v>164</v>
      </c>
      <c r="E54" s="5">
        <v>7997.3</v>
      </c>
      <c r="F54" s="5">
        <f>SUM(E54)</f>
        <v>7997.3</v>
      </c>
    </row>
    <row r="55" spans="1:6">
      <c r="A55" s="18"/>
      <c r="B55" s="46" t="s">
        <v>445</v>
      </c>
      <c r="C55" s="1" t="s">
        <v>12</v>
      </c>
      <c r="D55" s="1" t="s">
        <v>164</v>
      </c>
      <c r="E55" s="5">
        <v>7997.3</v>
      </c>
      <c r="F55" s="5">
        <f>SUM(E55)</f>
        <v>7997.3</v>
      </c>
    </row>
    <row r="56" spans="1:6">
      <c r="A56" s="18"/>
      <c r="B56" s="46" t="s">
        <v>52</v>
      </c>
      <c r="C56" s="1" t="s">
        <v>12</v>
      </c>
      <c r="D56" s="1" t="s">
        <v>164</v>
      </c>
      <c r="E56" s="5">
        <v>7997.3</v>
      </c>
      <c r="F56" s="5">
        <f>SUM(E56)</f>
        <v>7997.3</v>
      </c>
    </row>
    <row r="57" spans="1:6">
      <c r="A57" s="18"/>
      <c r="D57" s="1"/>
      <c r="E57" s="1"/>
      <c r="F57" s="5"/>
    </row>
    <row r="58" spans="1:6">
      <c r="A58" s="41">
        <f>1+A53</f>
        <v>17</v>
      </c>
      <c r="B58" s="11" t="s">
        <v>302</v>
      </c>
      <c r="C58" s="1"/>
      <c r="D58" s="1"/>
      <c r="E58" s="1"/>
      <c r="F58" s="1"/>
    </row>
    <row r="59" spans="1:6">
      <c r="A59" s="18"/>
      <c r="B59" s="46" t="s">
        <v>51</v>
      </c>
      <c r="C59" s="1" t="s">
        <v>12</v>
      </c>
      <c r="D59" s="1" t="s">
        <v>164</v>
      </c>
      <c r="E59" s="5">
        <v>7997.3</v>
      </c>
      <c r="F59" s="5">
        <f>SUM(E59)</f>
        <v>7997.3</v>
      </c>
    </row>
    <row r="60" spans="1:6">
      <c r="A60" s="18"/>
      <c r="B60" s="46" t="s">
        <v>445</v>
      </c>
      <c r="C60" s="1" t="s">
        <v>12</v>
      </c>
      <c r="D60" s="1" t="s">
        <v>164</v>
      </c>
      <c r="E60" s="5">
        <v>7997.3</v>
      </c>
      <c r="F60" s="5">
        <f>SUM(E60)</f>
        <v>7997.3</v>
      </c>
    </row>
    <row r="61" spans="1:6">
      <c r="A61" s="18"/>
      <c r="B61" s="46" t="s">
        <v>52</v>
      </c>
      <c r="C61" s="1" t="s">
        <v>12</v>
      </c>
      <c r="D61" s="1" t="s">
        <v>164</v>
      </c>
      <c r="E61" s="5">
        <v>7997.3</v>
      </c>
      <c r="F61" s="5">
        <f>SUM(E61)</f>
        <v>7997.3</v>
      </c>
    </row>
    <row r="62" spans="1:6">
      <c r="A62" s="18"/>
      <c r="D62" s="1"/>
      <c r="E62" s="1"/>
      <c r="F62" s="5"/>
    </row>
    <row r="63" spans="1:6">
      <c r="A63" s="41">
        <f>1+A58</f>
        <v>18</v>
      </c>
      <c r="B63" s="11" t="s">
        <v>301</v>
      </c>
      <c r="C63" s="1"/>
      <c r="D63" s="1"/>
      <c r="E63" s="1"/>
      <c r="F63" s="1"/>
    </row>
    <row r="64" spans="1:6">
      <c r="A64" s="18"/>
      <c r="B64" s="46" t="s">
        <v>51</v>
      </c>
      <c r="C64" s="1" t="s">
        <v>12</v>
      </c>
      <c r="D64" s="1" t="s">
        <v>164</v>
      </c>
      <c r="E64" s="5">
        <v>7997.3</v>
      </c>
      <c r="F64" s="5">
        <f>SUM(E64)</f>
        <v>7997.3</v>
      </c>
    </row>
    <row r="65" spans="1:6">
      <c r="A65" s="18"/>
      <c r="D65" s="1"/>
      <c r="E65" s="1"/>
      <c r="F65" s="5"/>
    </row>
    <row r="66" spans="1:6">
      <c r="A66" s="41">
        <f>1+A63</f>
        <v>19</v>
      </c>
      <c r="B66" s="43" t="s">
        <v>168</v>
      </c>
      <c r="C66" s="1"/>
      <c r="D66" s="1"/>
      <c r="E66" s="1"/>
      <c r="F66" s="47"/>
    </row>
    <row r="67" spans="1:6">
      <c r="A67" s="18"/>
      <c r="B67" s="46" t="s">
        <v>51</v>
      </c>
      <c r="C67" s="1" t="s">
        <v>12</v>
      </c>
      <c r="D67" s="1" t="s">
        <v>164</v>
      </c>
      <c r="E67" s="5">
        <v>7997.3</v>
      </c>
      <c r="F67" s="5">
        <f>SUM(E67)</f>
        <v>7997.3</v>
      </c>
    </row>
    <row r="68" spans="1:6">
      <c r="A68" s="18"/>
      <c r="B68" s="46" t="s">
        <v>445</v>
      </c>
      <c r="C68" s="1" t="s">
        <v>12</v>
      </c>
      <c r="D68" s="1" t="s">
        <v>164</v>
      </c>
      <c r="E68" s="5">
        <v>7997.3</v>
      </c>
      <c r="F68" s="5">
        <f>SUM(E68)</f>
        <v>7997.3</v>
      </c>
    </row>
    <row r="69" spans="1:6">
      <c r="A69" s="18"/>
      <c r="B69" s="46" t="s">
        <v>52</v>
      </c>
      <c r="C69" s="1" t="s">
        <v>12</v>
      </c>
      <c r="D69" s="1" t="s">
        <v>164</v>
      </c>
      <c r="E69" s="5">
        <v>7997.3</v>
      </c>
      <c r="F69" s="5">
        <f>SUM(E69)</f>
        <v>7997.3</v>
      </c>
    </row>
    <row r="70" spans="1:6">
      <c r="A70" s="18"/>
      <c r="B70" s="46"/>
      <c r="C70" s="1"/>
      <c r="D70" s="1"/>
      <c r="E70" s="5"/>
      <c r="F70" s="5"/>
    </row>
    <row r="71" spans="1:6">
      <c r="A71" s="41">
        <f>1+A66</f>
        <v>20</v>
      </c>
      <c r="B71" s="43" t="s">
        <v>303</v>
      </c>
      <c r="C71" s="1"/>
      <c r="D71" s="1"/>
      <c r="E71" s="1"/>
      <c r="F71" s="47"/>
    </row>
    <row r="72" spans="1:6">
      <c r="A72" s="18"/>
      <c r="B72" s="46" t="s">
        <v>51</v>
      </c>
      <c r="C72" s="1" t="s">
        <v>12</v>
      </c>
      <c r="D72" s="1" t="s">
        <v>164</v>
      </c>
      <c r="E72" s="5">
        <v>7997.3</v>
      </c>
      <c r="F72" s="5">
        <f>SUM(E72)</f>
        <v>7997.3</v>
      </c>
    </row>
    <row r="73" spans="1:6">
      <c r="A73" s="18"/>
      <c r="B73" s="46" t="s">
        <v>445</v>
      </c>
      <c r="C73" s="1" t="s">
        <v>12</v>
      </c>
      <c r="D73" s="1" t="s">
        <v>164</v>
      </c>
      <c r="E73" s="5">
        <v>7997.3</v>
      </c>
      <c r="F73" s="5">
        <f>SUM(E73)</f>
        <v>7997.3</v>
      </c>
    </row>
    <row r="74" spans="1:6">
      <c r="A74" s="18"/>
      <c r="B74" s="46" t="s">
        <v>52</v>
      </c>
      <c r="C74" s="1" t="s">
        <v>12</v>
      </c>
      <c r="D74" s="1" t="s">
        <v>164</v>
      </c>
      <c r="E74" s="5">
        <v>7997.3</v>
      </c>
      <c r="F74" s="5">
        <f>SUM(E74)</f>
        <v>7997.3</v>
      </c>
    </row>
    <row r="75" spans="1:6">
      <c r="A75" s="18"/>
      <c r="B75" s="46"/>
      <c r="C75" s="1"/>
      <c r="D75" s="1"/>
      <c r="E75" s="5"/>
      <c r="F75" s="5"/>
    </row>
    <row r="76" spans="1:6">
      <c r="A76" s="18"/>
      <c r="B76" s="45" t="s">
        <v>169</v>
      </c>
      <c r="D76" s="1"/>
      <c r="E76" s="1"/>
      <c r="F76" s="5"/>
    </row>
    <row r="77" spans="1:6">
      <c r="A77" s="41">
        <f>1+A74</f>
        <v>1</v>
      </c>
      <c r="B77" s="9" t="s">
        <v>710</v>
      </c>
      <c r="C77" s="1" t="s">
        <v>12</v>
      </c>
      <c r="D77" s="1" t="s">
        <v>171</v>
      </c>
      <c r="E77" s="1">
        <v>8599.35</v>
      </c>
      <c r="F77" s="5">
        <f>SUM(E77)</f>
        <v>8599.35</v>
      </c>
    </row>
    <row r="78" spans="1:6">
      <c r="A78" s="18"/>
      <c r="B78" s="45"/>
      <c r="D78" s="1"/>
      <c r="E78" s="1"/>
      <c r="F78" s="5"/>
    </row>
    <row r="79" spans="1:6">
      <c r="A79" s="18"/>
      <c r="B79" s="45"/>
      <c r="D79" s="1"/>
      <c r="E79" s="1"/>
      <c r="F79" s="5"/>
    </row>
    <row r="80" spans="1:6" ht="27.6">
      <c r="A80" s="41">
        <f>1+A71</f>
        <v>21</v>
      </c>
      <c r="B80" s="6" t="s">
        <v>170</v>
      </c>
      <c r="C80" s="1"/>
      <c r="D80" s="1"/>
      <c r="E80" s="1"/>
      <c r="F80" s="1"/>
    </row>
    <row r="81" spans="1:6">
      <c r="A81" s="18"/>
      <c r="B81" s="46" t="s">
        <v>51</v>
      </c>
      <c r="C81" s="1" t="s">
        <v>12</v>
      </c>
      <c r="D81" s="1" t="s">
        <v>171</v>
      </c>
      <c r="E81" s="5">
        <f>10221.7+0</f>
        <v>10221.700000000001</v>
      </c>
      <c r="F81" s="5">
        <f>SUM(E81)</f>
        <v>10221.700000000001</v>
      </c>
    </row>
    <row r="82" spans="1:6">
      <c r="A82" s="18"/>
      <c r="B82" s="46" t="s">
        <v>445</v>
      </c>
      <c r="C82" s="1" t="s">
        <v>12</v>
      </c>
      <c r="D82" s="1" t="s">
        <v>171</v>
      </c>
      <c r="E82" s="5">
        <f>10221.7+0</f>
        <v>10221.700000000001</v>
      </c>
      <c r="F82" s="5">
        <f>SUM(E82)</f>
        <v>10221.700000000001</v>
      </c>
    </row>
    <row r="83" spans="1:6">
      <c r="A83" s="18"/>
      <c r="B83" s="46" t="s">
        <v>52</v>
      </c>
      <c r="C83" s="1" t="s">
        <v>12</v>
      </c>
      <c r="D83" s="1" t="s">
        <v>171</v>
      </c>
      <c r="E83" s="5">
        <f>10221.7+0</f>
        <v>10221.700000000001</v>
      </c>
      <c r="F83" s="5">
        <f>SUM(E83)</f>
        <v>10221.700000000001</v>
      </c>
    </row>
    <row r="84" spans="1:6">
      <c r="A84" s="18"/>
      <c r="B84" s="30" t="s">
        <v>463</v>
      </c>
      <c r="C84" s="1" t="s">
        <v>12</v>
      </c>
      <c r="D84" s="1" t="s">
        <v>171</v>
      </c>
      <c r="E84" s="5">
        <f>10221.7+0</f>
        <v>10221.700000000001</v>
      </c>
      <c r="F84" s="5">
        <f>SUM(E84)</f>
        <v>10221.700000000001</v>
      </c>
    </row>
    <row r="85" spans="1:6">
      <c r="A85" s="18"/>
      <c r="B85" s="6"/>
      <c r="C85" s="2"/>
      <c r="D85" s="1"/>
      <c r="E85" s="1"/>
      <c r="F85" s="5"/>
    </row>
    <row r="86" spans="1:6">
      <c r="A86" s="41">
        <f>1+A80</f>
        <v>22</v>
      </c>
      <c r="B86" s="11" t="s">
        <v>172</v>
      </c>
      <c r="C86" s="1" t="s">
        <v>12</v>
      </c>
      <c r="D86" s="1" t="s">
        <v>171</v>
      </c>
      <c r="E86" s="1">
        <v>8599.35</v>
      </c>
      <c r="F86" s="5">
        <f>SUM(E86)</f>
        <v>8599.35</v>
      </c>
    </row>
    <row r="87" spans="1:6">
      <c r="A87" s="18"/>
      <c r="B87" s="21"/>
      <c r="C87" s="1"/>
      <c r="D87" s="1"/>
      <c r="E87" s="1"/>
      <c r="F87" s="5"/>
    </row>
    <row r="88" spans="1:6">
      <c r="A88" s="41">
        <f>1+A86</f>
        <v>23</v>
      </c>
      <c r="B88" s="11" t="s">
        <v>173</v>
      </c>
      <c r="D88" s="1"/>
      <c r="E88" s="1"/>
      <c r="F88" s="5"/>
    </row>
    <row r="89" spans="1:6">
      <c r="A89" s="18"/>
      <c r="B89" s="46" t="s">
        <v>51</v>
      </c>
      <c r="C89" s="1" t="s">
        <v>12</v>
      </c>
      <c r="D89" s="1" t="s">
        <v>171</v>
      </c>
      <c r="E89" s="5">
        <f>10221.7+0</f>
        <v>10221.700000000001</v>
      </c>
      <c r="F89" s="5">
        <f>SUM(E89)</f>
        <v>10221.700000000001</v>
      </c>
    </row>
    <row r="90" spans="1:6">
      <c r="A90" s="18"/>
      <c r="B90" s="46" t="s">
        <v>445</v>
      </c>
      <c r="C90" s="1" t="s">
        <v>12</v>
      </c>
      <c r="D90" s="1" t="s">
        <v>171</v>
      </c>
      <c r="E90" s="5">
        <f>10221.7+0</f>
        <v>10221.700000000001</v>
      </c>
      <c r="F90" s="5">
        <f>SUM(E90)</f>
        <v>10221.700000000001</v>
      </c>
    </row>
    <row r="91" spans="1:6">
      <c r="A91" s="18"/>
      <c r="B91" s="46" t="s">
        <v>52</v>
      </c>
      <c r="C91" s="1" t="s">
        <v>12</v>
      </c>
      <c r="D91" s="1" t="s">
        <v>171</v>
      </c>
      <c r="E91" s="5">
        <f>10221.7+0</f>
        <v>10221.700000000001</v>
      </c>
      <c r="F91" s="5">
        <f>SUM(E91)</f>
        <v>10221.700000000001</v>
      </c>
    </row>
    <row r="92" spans="1:6">
      <c r="A92" s="18"/>
      <c r="B92" s="30" t="s">
        <v>463</v>
      </c>
      <c r="C92" s="1" t="s">
        <v>12</v>
      </c>
      <c r="D92" s="1" t="s">
        <v>171</v>
      </c>
      <c r="E92" s="5">
        <f>10221.7+0</f>
        <v>10221.700000000001</v>
      </c>
      <c r="F92" s="5">
        <f>SUM(E92)</f>
        <v>10221.700000000001</v>
      </c>
    </row>
    <row r="93" spans="1:6">
      <c r="A93" s="18"/>
      <c r="B93" s="46"/>
      <c r="C93" s="1"/>
      <c r="D93" s="1"/>
      <c r="E93" s="1"/>
      <c r="F93" s="1"/>
    </row>
    <row r="94" spans="1:6">
      <c r="A94" s="41">
        <f>1+A88</f>
        <v>24</v>
      </c>
      <c r="B94" s="11" t="s">
        <v>174</v>
      </c>
      <c r="C94" s="2"/>
      <c r="D94" s="1"/>
      <c r="E94" s="1"/>
      <c r="F94" s="47"/>
    </row>
    <row r="95" spans="1:6">
      <c r="A95" s="18"/>
      <c r="B95" s="46" t="s">
        <v>51</v>
      </c>
      <c r="C95" s="1" t="s">
        <v>12</v>
      </c>
      <c r="D95" s="1" t="s">
        <v>171</v>
      </c>
      <c r="E95" s="5">
        <f>10221.7+0</f>
        <v>10221.700000000001</v>
      </c>
      <c r="F95" s="5">
        <f>SUM(E95)</f>
        <v>10221.700000000001</v>
      </c>
    </row>
    <row r="96" spans="1:6">
      <c r="A96" s="18"/>
      <c r="B96" s="46" t="s">
        <v>445</v>
      </c>
      <c r="C96" s="1" t="s">
        <v>12</v>
      </c>
      <c r="D96" s="1" t="s">
        <v>171</v>
      </c>
      <c r="E96" s="5">
        <f>10221.7+0</f>
        <v>10221.700000000001</v>
      </c>
      <c r="F96" s="5">
        <f>SUM(E96)</f>
        <v>10221.700000000001</v>
      </c>
    </row>
    <row r="97" spans="1:6">
      <c r="A97" s="18"/>
      <c r="B97" s="46" t="s">
        <v>52</v>
      </c>
      <c r="C97" s="1" t="s">
        <v>12</v>
      </c>
      <c r="D97" s="1" t="s">
        <v>171</v>
      </c>
      <c r="E97" s="5">
        <f>10221.7+0</f>
        <v>10221.700000000001</v>
      </c>
      <c r="F97" s="5">
        <f>SUM(E97)</f>
        <v>10221.700000000001</v>
      </c>
    </row>
    <row r="98" spans="1:6">
      <c r="A98" s="18"/>
      <c r="B98" s="9"/>
      <c r="C98" s="2"/>
      <c r="D98" s="1"/>
      <c r="E98" s="1"/>
      <c r="F98" s="47"/>
    </row>
    <row r="99" spans="1:6">
      <c r="A99" s="41">
        <f>1+A94</f>
        <v>25</v>
      </c>
      <c r="B99" s="11" t="s">
        <v>175</v>
      </c>
      <c r="C99" s="2"/>
      <c r="D99" s="1"/>
      <c r="E99" s="1"/>
      <c r="F99" s="47"/>
    </row>
    <row r="100" spans="1:6">
      <c r="A100" s="18"/>
      <c r="B100" s="46" t="s">
        <v>51</v>
      </c>
      <c r="C100" s="1" t="s">
        <v>12</v>
      </c>
      <c r="D100" s="1" t="s">
        <v>171</v>
      </c>
      <c r="E100" s="5">
        <f>10221.7+0</f>
        <v>10221.700000000001</v>
      </c>
      <c r="F100" s="5">
        <f>SUM(E100)</f>
        <v>10221.700000000001</v>
      </c>
    </row>
    <row r="101" spans="1:6">
      <c r="A101" s="18"/>
      <c r="B101" s="46" t="s">
        <v>445</v>
      </c>
      <c r="C101" s="1" t="s">
        <v>12</v>
      </c>
      <c r="D101" s="1" t="s">
        <v>171</v>
      </c>
      <c r="E101" s="5">
        <f>10221.7+0</f>
        <v>10221.700000000001</v>
      </c>
      <c r="F101" s="5">
        <f>SUM(E101)</f>
        <v>10221.700000000001</v>
      </c>
    </row>
    <row r="102" spans="1:6">
      <c r="A102" s="18"/>
      <c r="B102" s="46" t="s">
        <v>52</v>
      </c>
      <c r="C102" s="1" t="s">
        <v>12</v>
      </c>
      <c r="D102" s="1" t="s">
        <v>171</v>
      </c>
      <c r="E102" s="5">
        <f>10221.7+0</f>
        <v>10221.700000000001</v>
      </c>
      <c r="F102" s="5">
        <f>SUM(E102)</f>
        <v>10221.700000000001</v>
      </c>
    </row>
    <row r="103" spans="1:6">
      <c r="A103" s="18"/>
      <c r="B103" s="46"/>
      <c r="C103" s="1"/>
      <c r="D103" s="1"/>
      <c r="E103" s="5"/>
      <c r="F103" s="5"/>
    </row>
    <row r="104" spans="1:6">
      <c r="A104" s="41">
        <f>1+A99</f>
        <v>26</v>
      </c>
      <c r="B104" s="11" t="s">
        <v>176</v>
      </c>
      <c r="C104" s="1"/>
      <c r="D104" s="1"/>
      <c r="E104" s="1"/>
      <c r="F104" s="1"/>
    </row>
    <row r="105" spans="1:6">
      <c r="A105" s="18"/>
      <c r="B105" s="46" t="s">
        <v>51</v>
      </c>
      <c r="C105" s="1" t="s">
        <v>12</v>
      </c>
      <c r="D105" s="1" t="s">
        <v>171</v>
      </c>
      <c r="E105" s="5">
        <f>10221.7+0</f>
        <v>10221.700000000001</v>
      </c>
      <c r="F105" s="5">
        <f>SUM(E105)</f>
        <v>10221.700000000001</v>
      </c>
    </row>
    <row r="106" spans="1:6">
      <c r="A106" s="18"/>
      <c r="B106" s="46" t="s">
        <v>445</v>
      </c>
      <c r="C106" s="1" t="s">
        <v>12</v>
      </c>
      <c r="D106" s="1" t="s">
        <v>171</v>
      </c>
      <c r="E106" s="5">
        <f>10221.7+0</f>
        <v>10221.700000000001</v>
      </c>
      <c r="F106" s="5">
        <f>SUM(E106)</f>
        <v>10221.700000000001</v>
      </c>
    </row>
    <row r="107" spans="1:6">
      <c r="A107" s="18"/>
      <c r="B107" s="17" t="s">
        <v>52</v>
      </c>
      <c r="C107" s="1" t="s">
        <v>12</v>
      </c>
      <c r="D107" s="1" t="s">
        <v>171</v>
      </c>
      <c r="E107" s="5">
        <f>10221.7+0</f>
        <v>10221.700000000001</v>
      </c>
      <c r="F107" s="5">
        <f>SUM(E107)</f>
        <v>10221.700000000001</v>
      </c>
    </row>
    <row r="108" spans="1:6">
      <c r="A108" s="18"/>
      <c r="B108" s="30" t="s">
        <v>463</v>
      </c>
      <c r="C108" s="1" t="s">
        <v>12</v>
      </c>
      <c r="D108" s="1" t="s">
        <v>171</v>
      </c>
      <c r="E108" s="5">
        <f>10221.7+0</f>
        <v>10221.700000000001</v>
      </c>
      <c r="F108" s="5">
        <f>SUM(E108)</f>
        <v>10221.700000000001</v>
      </c>
    </row>
    <row r="109" spans="1:6">
      <c r="A109" s="18"/>
      <c r="B109" s="17"/>
      <c r="C109" s="2"/>
      <c r="D109" s="1"/>
      <c r="E109" s="1"/>
      <c r="F109" s="47"/>
    </row>
    <row r="110" spans="1:6">
      <c r="A110" s="41">
        <f>1+A104</f>
        <v>27</v>
      </c>
      <c r="B110" s="8" t="s">
        <v>177</v>
      </c>
      <c r="C110" s="2"/>
      <c r="D110" s="1"/>
      <c r="E110" s="1"/>
      <c r="F110" s="47"/>
    </row>
    <row r="111" spans="1:6">
      <c r="A111" s="18"/>
      <c r="B111" s="46" t="s">
        <v>51</v>
      </c>
      <c r="C111" s="1" t="s">
        <v>12</v>
      </c>
      <c r="D111" s="1" t="s">
        <v>171</v>
      </c>
      <c r="E111" s="5">
        <f>10221.7+0</f>
        <v>10221.700000000001</v>
      </c>
      <c r="F111" s="5">
        <f>SUM(E111)</f>
        <v>10221.700000000001</v>
      </c>
    </row>
    <row r="112" spans="1:6">
      <c r="A112" s="18"/>
      <c r="B112" s="46"/>
      <c r="C112" s="2"/>
      <c r="D112" s="1"/>
      <c r="E112" s="1"/>
      <c r="F112" s="47"/>
    </row>
    <row r="113" spans="1:6">
      <c r="A113" s="41">
        <f>1+A110</f>
        <v>28</v>
      </c>
      <c r="B113" s="43" t="s">
        <v>178</v>
      </c>
      <c r="C113" s="1"/>
      <c r="D113" s="1"/>
      <c r="E113" s="1"/>
      <c r="F113" s="47"/>
    </row>
    <row r="114" spans="1:6">
      <c r="A114" s="18"/>
      <c r="B114" s="46" t="s">
        <v>51</v>
      </c>
      <c r="C114" s="1" t="s">
        <v>12</v>
      </c>
      <c r="D114" s="1" t="s">
        <v>171</v>
      </c>
      <c r="E114" s="5">
        <f>10221.7+0</f>
        <v>10221.700000000001</v>
      </c>
      <c r="F114" s="5">
        <f>SUM(E114)</f>
        <v>10221.700000000001</v>
      </c>
    </row>
    <row r="115" spans="1:6">
      <c r="A115" s="18"/>
      <c r="B115" s="30" t="s">
        <v>463</v>
      </c>
      <c r="C115" s="1" t="s">
        <v>12</v>
      </c>
      <c r="D115" s="1" t="s">
        <v>171</v>
      </c>
      <c r="E115" s="5">
        <f>10221.7+0</f>
        <v>10221.700000000001</v>
      </c>
      <c r="F115" s="5">
        <f>SUM(E115)</f>
        <v>10221.700000000001</v>
      </c>
    </row>
    <row r="116" spans="1:6">
      <c r="A116" s="18"/>
      <c r="B116" s="21"/>
      <c r="C116" s="2"/>
      <c r="D116" s="1"/>
      <c r="E116" s="1"/>
      <c r="F116" s="47"/>
    </row>
    <row r="117" spans="1:6" ht="27.6">
      <c r="A117" s="41">
        <f>1+A113</f>
        <v>29</v>
      </c>
      <c r="B117" s="6" t="s">
        <v>179</v>
      </c>
      <c r="C117" s="1"/>
      <c r="D117" s="1"/>
      <c r="E117" s="1"/>
      <c r="F117" s="47"/>
    </row>
    <row r="118" spans="1:6">
      <c r="A118" s="18"/>
      <c r="B118" s="46" t="s">
        <v>51</v>
      </c>
      <c r="C118" s="1" t="s">
        <v>9</v>
      </c>
      <c r="D118" s="1" t="s">
        <v>180</v>
      </c>
      <c r="E118" s="5">
        <v>10719.3</v>
      </c>
      <c r="F118" s="5">
        <f>SUM(E118)</f>
        <v>10719.3</v>
      </c>
    </row>
    <row r="119" spans="1:6">
      <c r="A119" s="18"/>
      <c r="B119" s="46" t="s">
        <v>445</v>
      </c>
      <c r="C119" s="1" t="s">
        <v>9</v>
      </c>
      <c r="D119" s="1" t="s">
        <v>180</v>
      </c>
      <c r="E119" s="5">
        <v>10719.3</v>
      </c>
      <c r="F119" s="5">
        <f>SUM(E119)</f>
        <v>10719.3</v>
      </c>
    </row>
    <row r="120" spans="1:6">
      <c r="A120" s="18"/>
      <c r="B120" s="17" t="s">
        <v>52</v>
      </c>
      <c r="C120" s="1" t="s">
        <v>9</v>
      </c>
      <c r="D120" s="1" t="s">
        <v>180</v>
      </c>
      <c r="E120" s="5">
        <v>10719.3</v>
      </c>
      <c r="F120" s="5">
        <f>SUM(E120)</f>
        <v>10719.3</v>
      </c>
    </row>
    <row r="121" spans="1:6">
      <c r="A121" s="18"/>
      <c r="C121" s="1"/>
      <c r="D121" s="1"/>
      <c r="E121" s="5"/>
      <c r="F121" s="1"/>
    </row>
    <row r="122" spans="1:6">
      <c r="A122" s="41">
        <f>1+A117</f>
        <v>30</v>
      </c>
      <c r="B122" s="6" t="s">
        <v>181</v>
      </c>
      <c r="C122" s="11"/>
      <c r="D122" s="1"/>
      <c r="E122" s="5"/>
      <c r="F122" s="5"/>
    </row>
    <row r="123" spans="1:6">
      <c r="A123" s="18"/>
      <c r="B123" s="46" t="s">
        <v>51</v>
      </c>
      <c r="C123" s="1" t="s">
        <v>9</v>
      </c>
      <c r="D123" s="1" t="s">
        <v>182</v>
      </c>
      <c r="E123" s="5">
        <v>9297.7000000000007</v>
      </c>
      <c r="F123" s="5">
        <f>SUM(E123)</f>
        <v>9297.7000000000007</v>
      </c>
    </row>
    <row r="124" spans="1:6">
      <c r="A124" s="18"/>
      <c r="B124" s="46" t="s">
        <v>445</v>
      </c>
      <c r="C124" s="1" t="s">
        <v>10</v>
      </c>
      <c r="D124" s="1" t="s">
        <v>182</v>
      </c>
      <c r="E124" s="5">
        <v>9297.7000000000007</v>
      </c>
      <c r="F124" s="5">
        <f>SUM(E124)</f>
        <v>9297.7000000000007</v>
      </c>
    </row>
    <row r="125" spans="1:6">
      <c r="A125" s="18"/>
      <c r="B125" s="17" t="s">
        <v>52</v>
      </c>
      <c r="C125" s="1" t="s">
        <v>10</v>
      </c>
      <c r="D125" s="1" t="s">
        <v>182</v>
      </c>
      <c r="E125" s="5">
        <v>9297.7000000000007</v>
      </c>
      <c r="F125" s="5">
        <f>SUM(E125)</f>
        <v>9297.7000000000007</v>
      </c>
    </row>
    <row r="126" spans="1:6">
      <c r="A126" s="18"/>
      <c r="C126" s="1"/>
      <c r="D126" s="1"/>
      <c r="E126" s="5"/>
      <c r="F126" s="1"/>
    </row>
    <row r="127" spans="1:6">
      <c r="A127" s="18"/>
      <c r="B127" s="44" t="s">
        <v>183</v>
      </c>
      <c r="C127" s="1"/>
      <c r="D127" s="1"/>
      <c r="E127" s="1"/>
      <c r="F127" s="1"/>
    </row>
    <row r="128" spans="1:6">
      <c r="A128" s="18"/>
      <c r="D128" s="1"/>
      <c r="E128" s="1"/>
      <c r="F128" s="1"/>
    </row>
    <row r="129" spans="1:6">
      <c r="A129" s="41">
        <f>1+A122</f>
        <v>31</v>
      </c>
      <c r="B129" s="9" t="s">
        <v>184</v>
      </c>
      <c r="C129" s="1" t="s">
        <v>47</v>
      </c>
      <c r="D129" s="1" t="s">
        <v>185</v>
      </c>
      <c r="E129" s="1">
        <v>307.95</v>
      </c>
      <c r="F129" s="5">
        <f>SUM(E129)</f>
        <v>307.95</v>
      </c>
    </row>
    <row r="130" spans="1:6">
      <c r="A130" s="18"/>
      <c r="C130" s="1"/>
      <c r="D130" s="1"/>
      <c r="E130" s="1"/>
      <c r="F130" s="1"/>
    </row>
    <row r="131" spans="1:6">
      <c r="A131" s="41">
        <f>1+A129</f>
        <v>32</v>
      </c>
      <c r="B131" s="9" t="s">
        <v>186</v>
      </c>
      <c r="C131" s="1" t="s">
        <v>47</v>
      </c>
      <c r="D131" s="1" t="s">
        <v>185</v>
      </c>
      <c r="E131" s="1">
        <v>307.95</v>
      </c>
      <c r="F131" s="5">
        <f>SUM(E131)</f>
        <v>307.95</v>
      </c>
    </row>
    <row r="132" spans="1:6">
      <c r="A132" s="18"/>
      <c r="C132" s="1"/>
      <c r="D132" s="1"/>
      <c r="E132" s="1"/>
      <c r="F132" s="1"/>
    </row>
    <row r="133" spans="1:6">
      <c r="A133" s="41">
        <f>1+A131</f>
        <v>33</v>
      </c>
      <c r="B133" s="11" t="s">
        <v>187</v>
      </c>
      <c r="D133" s="1"/>
      <c r="E133" s="1"/>
      <c r="F133" s="1"/>
    </row>
    <row r="134" spans="1:6">
      <c r="A134" s="18"/>
      <c r="B134" s="46" t="s">
        <v>51</v>
      </c>
      <c r="C134" s="1" t="s">
        <v>47</v>
      </c>
      <c r="D134" s="1" t="s">
        <v>188</v>
      </c>
      <c r="E134" s="1">
        <v>804.25</v>
      </c>
      <c r="F134" s="5">
        <f>SUM(E134)</f>
        <v>804.25</v>
      </c>
    </row>
    <row r="135" spans="1:6">
      <c r="A135" s="18"/>
      <c r="B135" s="46" t="s">
        <v>445</v>
      </c>
      <c r="C135" s="1" t="s">
        <v>47</v>
      </c>
      <c r="D135" s="1" t="s">
        <v>188</v>
      </c>
      <c r="E135" s="1">
        <v>804.25</v>
      </c>
      <c r="F135" s="5">
        <f>SUM(E135)</f>
        <v>804.25</v>
      </c>
    </row>
    <row r="136" spans="1:6">
      <c r="A136" s="18"/>
      <c r="B136" s="17" t="s">
        <v>52</v>
      </c>
      <c r="C136" s="1" t="s">
        <v>47</v>
      </c>
      <c r="D136" s="1" t="s">
        <v>188</v>
      </c>
      <c r="E136" s="1">
        <v>804.25</v>
      </c>
      <c r="F136" s="5">
        <f>SUM(E136)</f>
        <v>804.25</v>
      </c>
    </row>
    <row r="137" spans="1:6">
      <c r="A137" s="18"/>
      <c r="B137" s="30" t="s">
        <v>463</v>
      </c>
      <c r="C137" s="1" t="s">
        <v>47</v>
      </c>
      <c r="D137" s="1" t="s">
        <v>188</v>
      </c>
      <c r="E137" s="1">
        <v>804.25</v>
      </c>
      <c r="F137" s="5">
        <f>SUM(E137)</f>
        <v>804.25</v>
      </c>
    </row>
    <row r="138" spans="1:6">
      <c r="A138" s="18"/>
      <c r="B138" s="17"/>
      <c r="C138" s="1"/>
      <c r="D138" s="1"/>
      <c r="E138" s="1"/>
      <c r="F138" s="1"/>
    </row>
    <row r="139" spans="1:6">
      <c r="A139" s="41">
        <f>1+A133</f>
        <v>34</v>
      </c>
      <c r="B139" s="11" t="s">
        <v>189</v>
      </c>
      <c r="C139" s="1"/>
      <c r="D139" s="1"/>
      <c r="E139" s="1"/>
      <c r="F139" s="1"/>
    </row>
    <row r="140" spans="1:6">
      <c r="A140" s="18"/>
      <c r="B140" s="46" t="s">
        <v>51</v>
      </c>
      <c r="C140" s="1" t="s">
        <v>47</v>
      </c>
      <c r="D140" s="1" t="s">
        <v>190</v>
      </c>
      <c r="E140" s="1">
        <v>608.35</v>
      </c>
      <c r="F140" s="5">
        <f>SUM(E140)</f>
        <v>608.35</v>
      </c>
    </row>
    <row r="141" spans="1:6">
      <c r="A141" s="18"/>
      <c r="B141" s="46"/>
      <c r="C141" s="1"/>
      <c r="D141" s="1"/>
      <c r="E141" s="1"/>
      <c r="F141" s="1"/>
    </row>
    <row r="142" spans="1:6">
      <c r="A142" s="41">
        <f>1+A139</f>
        <v>35</v>
      </c>
      <c r="B142" s="11" t="s">
        <v>304</v>
      </c>
      <c r="C142" s="1"/>
      <c r="D142" s="1"/>
      <c r="E142" s="1"/>
      <c r="F142" s="1"/>
    </row>
    <row r="143" spans="1:6">
      <c r="A143" s="18"/>
      <c r="B143" s="46" t="s">
        <v>51</v>
      </c>
      <c r="C143" s="1" t="s">
        <v>47</v>
      </c>
      <c r="D143" s="1" t="s">
        <v>190</v>
      </c>
      <c r="E143" s="1">
        <v>608.35</v>
      </c>
      <c r="F143" s="5">
        <f>SUM(E143)</f>
        <v>608.35</v>
      </c>
    </row>
    <row r="144" spans="1:6">
      <c r="A144" s="18"/>
      <c r="B144" s="46" t="s">
        <v>445</v>
      </c>
      <c r="C144" s="1" t="s">
        <v>47</v>
      </c>
      <c r="D144" s="1" t="s">
        <v>190</v>
      </c>
      <c r="E144" s="1">
        <v>608.35</v>
      </c>
      <c r="F144" s="5">
        <f>SUM(E144)</f>
        <v>608.35</v>
      </c>
    </row>
    <row r="145" spans="1:6">
      <c r="A145" s="18"/>
      <c r="B145" s="17" t="s">
        <v>52</v>
      </c>
      <c r="C145" s="1" t="s">
        <v>47</v>
      </c>
      <c r="D145" s="1" t="s">
        <v>190</v>
      </c>
      <c r="E145" s="1">
        <v>608.35</v>
      </c>
      <c r="F145" s="5">
        <f>SUM(E145)</f>
        <v>608.35</v>
      </c>
    </row>
    <row r="146" spans="1:6">
      <c r="A146" s="18"/>
      <c r="B146" s="30" t="s">
        <v>463</v>
      </c>
      <c r="C146" s="1" t="s">
        <v>47</v>
      </c>
      <c r="D146" s="1" t="s">
        <v>190</v>
      </c>
      <c r="E146" s="1">
        <v>608.35</v>
      </c>
      <c r="F146" s="5">
        <f>SUM(E146)</f>
        <v>608.35</v>
      </c>
    </row>
    <row r="147" spans="1:6">
      <c r="A147" s="18"/>
      <c r="B147" s="17"/>
      <c r="C147" s="1"/>
      <c r="D147" s="1"/>
      <c r="E147" s="1"/>
      <c r="F147" s="1"/>
    </row>
    <row r="148" spans="1:6">
      <c r="A148" s="41">
        <f>1+A142</f>
        <v>36</v>
      </c>
      <c r="B148" s="11" t="s">
        <v>191</v>
      </c>
      <c r="C148" s="1"/>
      <c r="D148" s="1"/>
      <c r="E148" s="1"/>
      <c r="F148" s="1"/>
    </row>
    <row r="149" spans="1:6">
      <c r="A149" s="18"/>
      <c r="B149" s="46" t="s">
        <v>51</v>
      </c>
      <c r="C149" s="1" t="s">
        <v>47</v>
      </c>
      <c r="D149" s="1" t="s">
        <v>190</v>
      </c>
      <c r="E149" s="1">
        <v>608.35</v>
      </c>
      <c r="F149" s="5">
        <f>SUM(E149)</f>
        <v>608.35</v>
      </c>
    </row>
    <row r="150" spans="1:6">
      <c r="A150" s="18"/>
      <c r="B150" s="46" t="s">
        <v>445</v>
      </c>
      <c r="C150" s="1" t="s">
        <v>47</v>
      </c>
      <c r="D150" s="1" t="s">
        <v>190</v>
      </c>
      <c r="E150" s="1">
        <v>608.35</v>
      </c>
      <c r="F150" s="5">
        <f>SUM(E150)</f>
        <v>608.35</v>
      </c>
    </row>
    <row r="151" spans="1:6">
      <c r="A151" s="18"/>
      <c r="B151" s="17" t="s">
        <v>52</v>
      </c>
      <c r="C151" s="1" t="s">
        <v>47</v>
      </c>
      <c r="D151" s="1" t="s">
        <v>190</v>
      </c>
      <c r="E151" s="1">
        <v>608.35</v>
      </c>
      <c r="F151" s="5">
        <f>SUM(E151)</f>
        <v>608.35</v>
      </c>
    </row>
    <row r="152" spans="1:6">
      <c r="A152" s="18"/>
      <c r="B152" s="17"/>
      <c r="C152" s="1"/>
      <c r="D152" s="1"/>
      <c r="E152" s="1"/>
      <c r="F152" s="1"/>
    </row>
    <row r="153" spans="1:6">
      <c r="A153" s="41">
        <f>1+A148</f>
        <v>37</v>
      </c>
      <c r="B153" s="11" t="s">
        <v>192</v>
      </c>
      <c r="C153" s="1"/>
      <c r="D153" s="1"/>
      <c r="E153" s="1"/>
      <c r="F153" s="1"/>
    </row>
    <row r="154" spans="1:6">
      <c r="A154" s="18"/>
      <c r="B154" s="46" t="s">
        <v>51</v>
      </c>
      <c r="C154" s="1" t="s">
        <v>47</v>
      </c>
      <c r="D154" s="1" t="s">
        <v>193</v>
      </c>
      <c r="E154" s="1">
        <v>657.75</v>
      </c>
      <c r="F154" s="5">
        <f>SUM(E154)</f>
        <v>657.75</v>
      </c>
    </row>
    <row r="155" spans="1:6">
      <c r="A155" s="18"/>
      <c r="B155" s="46" t="s">
        <v>445</v>
      </c>
      <c r="C155" s="1" t="s">
        <v>47</v>
      </c>
      <c r="D155" s="1" t="s">
        <v>193</v>
      </c>
      <c r="E155" s="1">
        <v>657.75</v>
      </c>
      <c r="F155" s="5">
        <f>SUM(E155)</f>
        <v>657.75</v>
      </c>
    </row>
    <row r="156" spans="1:6">
      <c r="A156" s="18"/>
      <c r="B156" s="17" t="s">
        <v>52</v>
      </c>
      <c r="C156" s="1" t="s">
        <v>47</v>
      </c>
      <c r="D156" s="1" t="s">
        <v>193</v>
      </c>
      <c r="E156" s="1">
        <v>657.75</v>
      </c>
      <c r="F156" s="5">
        <f>SUM(E156)</f>
        <v>657.75</v>
      </c>
    </row>
    <row r="157" spans="1:6">
      <c r="A157" s="18"/>
      <c r="B157" s="17"/>
      <c r="C157" s="1"/>
      <c r="D157" s="1"/>
      <c r="E157" s="1"/>
      <c r="F157" s="1"/>
    </row>
    <row r="158" spans="1:6">
      <c r="A158" s="41">
        <f>1+A153</f>
        <v>38</v>
      </c>
      <c r="B158" s="11" t="s">
        <v>194</v>
      </c>
      <c r="C158" s="1"/>
      <c r="D158" s="1"/>
      <c r="E158" s="1"/>
      <c r="F158" s="1"/>
    </row>
    <row r="159" spans="1:6">
      <c r="A159" s="18"/>
      <c r="B159" s="46" t="s">
        <v>51</v>
      </c>
      <c r="C159" s="1" t="s">
        <v>47</v>
      </c>
      <c r="D159" s="1" t="s">
        <v>195</v>
      </c>
      <c r="E159" s="1">
        <v>766.55</v>
      </c>
      <c r="F159" s="5">
        <f>SUM(E159)</f>
        <v>766.55</v>
      </c>
    </row>
    <row r="160" spans="1:6">
      <c r="A160" s="18"/>
      <c r="B160" s="46" t="s">
        <v>445</v>
      </c>
      <c r="C160" s="1" t="s">
        <v>47</v>
      </c>
      <c r="D160" s="1" t="s">
        <v>195</v>
      </c>
      <c r="E160" s="1">
        <v>766.55</v>
      </c>
      <c r="F160" s="5">
        <f>SUM(E160)</f>
        <v>766.55</v>
      </c>
    </row>
    <row r="161" spans="1:9">
      <c r="A161" s="18"/>
      <c r="B161" s="17" t="s">
        <v>52</v>
      </c>
      <c r="C161" s="1" t="s">
        <v>47</v>
      </c>
      <c r="D161" s="1" t="s">
        <v>195</v>
      </c>
      <c r="E161" s="1">
        <v>766.55</v>
      </c>
      <c r="F161" s="5">
        <f>SUM(E161)</f>
        <v>766.55</v>
      </c>
    </row>
    <row r="162" spans="1:9">
      <c r="A162" s="18"/>
      <c r="B162" s="30" t="s">
        <v>463</v>
      </c>
      <c r="C162" s="1" t="s">
        <v>47</v>
      </c>
      <c r="D162" s="1" t="s">
        <v>195</v>
      </c>
      <c r="E162" s="1">
        <v>766.55</v>
      </c>
      <c r="F162" s="5">
        <f>SUM(E162)</f>
        <v>766.55</v>
      </c>
    </row>
    <row r="163" spans="1:9">
      <c r="A163" s="18"/>
      <c r="B163" s="17"/>
      <c r="C163" s="1"/>
      <c r="D163" s="1"/>
      <c r="E163" s="1"/>
      <c r="F163" s="1"/>
    </row>
    <row r="164" spans="1:9">
      <c r="A164" s="41">
        <f>1+A158</f>
        <v>39</v>
      </c>
      <c r="B164" s="11" t="s">
        <v>196</v>
      </c>
      <c r="C164" s="1"/>
      <c r="D164" s="1"/>
      <c r="E164" s="1"/>
      <c r="F164" s="1"/>
    </row>
    <row r="165" spans="1:9">
      <c r="A165" s="18"/>
      <c r="B165" s="46" t="s">
        <v>51</v>
      </c>
      <c r="C165" s="1" t="s">
        <v>53</v>
      </c>
      <c r="D165" s="1" t="s">
        <v>197</v>
      </c>
      <c r="E165" s="1">
        <v>181.9</v>
      </c>
      <c r="F165" s="5">
        <f>SUM(E165)</f>
        <v>181.9</v>
      </c>
    </row>
    <row r="166" spans="1:9">
      <c r="A166" s="18"/>
      <c r="B166" s="46" t="s">
        <v>445</v>
      </c>
      <c r="C166" s="1" t="s">
        <v>53</v>
      </c>
      <c r="D166" s="1" t="s">
        <v>197</v>
      </c>
      <c r="E166" s="1">
        <v>181.9</v>
      </c>
      <c r="F166" s="5">
        <f>SUM(E166)</f>
        <v>181.9</v>
      </c>
    </row>
    <row r="167" spans="1:9">
      <c r="A167" s="18"/>
      <c r="B167" s="17" t="s">
        <v>52</v>
      </c>
      <c r="C167" s="1" t="s">
        <v>53</v>
      </c>
      <c r="D167" s="1" t="s">
        <v>197</v>
      </c>
      <c r="E167" s="1">
        <v>181.9</v>
      </c>
      <c r="F167" s="5">
        <f>SUM(E167)</f>
        <v>181.9</v>
      </c>
    </row>
    <row r="168" spans="1:9">
      <c r="A168" s="18"/>
      <c r="B168" s="30" t="s">
        <v>463</v>
      </c>
      <c r="C168" s="1" t="s">
        <v>53</v>
      </c>
      <c r="D168" s="1" t="s">
        <v>197</v>
      </c>
      <c r="E168" s="1">
        <v>181.9</v>
      </c>
      <c r="F168" s="5">
        <f>SUM(E168)</f>
        <v>181.9</v>
      </c>
    </row>
    <row r="169" spans="1:9">
      <c r="A169" s="18"/>
      <c r="B169" s="17"/>
      <c r="C169" s="1"/>
      <c r="D169" s="1"/>
      <c r="E169" s="1"/>
      <c r="F169" s="1"/>
    </row>
    <row r="170" spans="1:9">
      <c r="A170" s="41">
        <f>1+A164</f>
        <v>40</v>
      </c>
      <c r="B170" s="43" t="s">
        <v>198</v>
      </c>
      <c r="D170" s="1"/>
      <c r="E170" s="1"/>
      <c r="F170" s="47"/>
      <c r="G170" s="16"/>
      <c r="H170" s="16"/>
      <c r="I170" s="16"/>
    </row>
    <row r="171" spans="1:9">
      <c r="A171" s="18"/>
      <c r="B171" s="46" t="s">
        <v>51</v>
      </c>
      <c r="C171" s="1" t="s">
        <v>47</v>
      </c>
      <c r="D171" s="1" t="s">
        <v>199</v>
      </c>
      <c r="E171" s="5">
        <v>669.55</v>
      </c>
      <c r="F171" s="5">
        <f>SUM(E171)</f>
        <v>669.55</v>
      </c>
      <c r="G171" s="16"/>
      <c r="H171" s="16"/>
      <c r="I171" s="16"/>
    </row>
    <row r="172" spans="1:9">
      <c r="A172" s="18"/>
      <c r="B172" s="30" t="s">
        <v>463</v>
      </c>
      <c r="C172" s="1" t="s">
        <v>47</v>
      </c>
      <c r="D172" s="1" t="s">
        <v>199</v>
      </c>
      <c r="E172" s="5">
        <v>669.55</v>
      </c>
      <c r="F172" s="5">
        <f>SUM(E172)</f>
        <v>669.55</v>
      </c>
      <c r="G172" s="16"/>
      <c r="H172" s="16"/>
      <c r="I172" s="16"/>
    </row>
    <row r="173" spans="1:9">
      <c r="A173" s="18"/>
      <c r="B173" s="21"/>
      <c r="C173" s="1"/>
      <c r="D173" s="1"/>
      <c r="E173" s="1"/>
      <c r="F173" s="47"/>
      <c r="G173" s="16"/>
      <c r="H173" s="16"/>
      <c r="I173" s="16"/>
    </row>
    <row r="174" spans="1:9">
      <c r="A174" s="41">
        <f>1+A170</f>
        <v>41</v>
      </c>
      <c r="B174" s="6" t="s">
        <v>200</v>
      </c>
      <c r="C174" s="1"/>
      <c r="D174" s="1"/>
      <c r="E174" s="1"/>
      <c r="F174" s="47"/>
      <c r="G174" s="16"/>
      <c r="H174" s="16"/>
      <c r="I174" s="16"/>
    </row>
    <row r="175" spans="1:9">
      <c r="A175" s="18"/>
      <c r="B175" s="46" t="s">
        <v>51</v>
      </c>
      <c r="C175" s="1" t="s">
        <v>47</v>
      </c>
      <c r="D175" s="1" t="s">
        <v>201</v>
      </c>
      <c r="E175" s="1">
        <v>814.95</v>
      </c>
      <c r="F175" s="5">
        <f>SUM(E175)</f>
        <v>814.95</v>
      </c>
      <c r="G175" s="16"/>
      <c r="H175" s="16"/>
      <c r="I175" s="16"/>
    </row>
    <row r="176" spans="1:9">
      <c r="A176" s="18"/>
      <c r="B176" s="46" t="s">
        <v>445</v>
      </c>
      <c r="C176" s="1" t="s">
        <v>47</v>
      </c>
      <c r="D176" s="1" t="s">
        <v>201</v>
      </c>
      <c r="E176" s="1">
        <v>814.95</v>
      </c>
      <c r="F176" s="5">
        <f>SUM(E176)</f>
        <v>814.95</v>
      </c>
      <c r="G176" s="16"/>
      <c r="H176" s="16"/>
      <c r="I176" s="16"/>
    </row>
    <row r="177" spans="1:9">
      <c r="A177" s="18"/>
      <c r="B177" s="17" t="s">
        <v>52</v>
      </c>
      <c r="C177" s="1" t="s">
        <v>47</v>
      </c>
      <c r="D177" s="1" t="s">
        <v>201</v>
      </c>
      <c r="E177" s="1">
        <v>814.95</v>
      </c>
      <c r="F177" s="5">
        <f>SUM(E177)</f>
        <v>814.95</v>
      </c>
      <c r="G177" s="16"/>
      <c r="H177" s="16"/>
      <c r="I177" s="16"/>
    </row>
    <row r="178" spans="1:9">
      <c r="A178" s="18"/>
      <c r="B178" s="17"/>
      <c r="C178" s="1"/>
      <c r="D178" s="1"/>
      <c r="E178" s="1"/>
      <c r="F178" s="5"/>
      <c r="G178" s="16"/>
      <c r="H178" s="16"/>
      <c r="I178" s="16"/>
    </row>
    <row r="179" spans="1:9" ht="110.4">
      <c r="A179" s="41">
        <f>1+A175</f>
        <v>1</v>
      </c>
      <c r="B179" s="115" t="s">
        <v>628</v>
      </c>
      <c r="C179" s="1"/>
      <c r="D179" s="1"/>
      <c r="E179" s="1"/>
      <c r="F179" s="5"/>
      <c r="G179" s="16"/>
      <c r="H179" s="16"/>
      <c r="I179" s="16"/>
    </row>
    <row r="180" spans="1:9">
      <c r="A180" s="18"/>
      <c r="B180" s="46" t="s">
        <v>51</v>
      </c>
      <c r="G180" s="16"/>
      <c r="H180" s="16"/>
      <c r="I180" s="16"/>
    </row>
    <row r="181" spans="1:9">
      <c r="A181" s="18"/>
      <c r="B181" s="17" t="s">
        <v>636</v>
      </c>
      <c r="C181" s="1" t="s">
        <v>47</v>
      </c>
      <c r="D181" s="1" t="s">
        <v>629</v>
      </c>
      <c r="E181" s="1">
        <f>319.25*4</f>
        <v>1277</v>
      </c>
      <c r="F181" s="5">
        <f>SUM(E181)</f>
        <v>1277</v>
      </c>
      <c r="G181" s="16"/>
      <c r="H181" s="16"/>
      <c r="I181" s="16"/>
    </row>
    <row r="182" spans="1:9">
      <c r="A182" s="18"/>
      <c r="B182" s="17"/>
      <c r="C182" s="1"/>
      <c r="D182" s="1"/>
      <c r="E182" s="1"/>
      <c r="F182" s="5"/>
      <c r="G182" s="16"/>
      <c r="H182" s="16"/>
      <c r="I182" s="16"/>
    </row>
    <row r="183" spans="1:9">
      <c r="A183" s="41">
        <f>1+A174</f>
        <v>42</v>
      </c>
      <c r="B183" s="6" t="s">
        <v>202</v>
      </c>
      <c r="D183" s="1"/>
      <c r="E183" s="5"/>
      <c r="F183" s="47"/>
      <c r="G183" s="16"/>
      <c r="H183" s="16"/>
      <c r="I183" s="16"/>
    </row>
    <row r="184" spans="1:9">
      <c r="A184" s="18"/>
      <c r="B184" s="46" t="s">
        <v>51</v>
      </c>
      <c r="C184" s="1" t="s">
        <v>24</v>
      </c>
      <c r="D184" s="1" t="s">
        <v>203</v>
      </c>
      <c r="E184" s="5">
        <v>89.65</v>
      </c>
      <c r="F184" s="5">
        <f>SUM(E184)</f>
        <v>89.65</v>
      </c>
      <c r="G184" s="16"/>
      <c r="H184" s="16"/>
      <c r="I184" s="16"/>
    </row>
    <row r="185" spans="1:9">
      <c r="A185" s="18"/>
      <c r="B185" s="46" t="s">
        <v>445</v>
      </c>
      <c r="C185" s="1" t="s">
        <v>24</v>
      </c>
      <c r="D185" s="1" t="s">
        <v>203</v>
      </c>
      <c r="E185" s="5">
        <v>89.65</v>
      </c>
      <c r="F185" s="5">
        <f>SUM(E185)</f>
        <v>89.65</v>
      </c>
      <c r="G185" s="16"/>
      <c r="H185" s="16"/>
      <c r="I185" s="16"/>
    </row>
    <row r="186" spans="1:9">
      <c r="A186" s="18"/>
      <c r="B186" s="17" t="s">
        <v>52</v>
      </c>
      <c r="C186" s="1" t="s">
        <v>24</v>
      </c>
      <c r="D186" s="1" t="s">
        <v>203</v>
      </c>
      <c r="E186" s="5">
        <v>89.65</v>
      </c>
      <c r="F186" s="5">
        <f>SUM(E186)</f>
        <v>89.65</v>
      </c>
      <c r="G186" s="16"/>
      <c r="H186" s="16"/>
      <c r="I186" s="16"/>
    </row>
    <row r="187" spans="1:9">
      <c r="A187" s="18"/>
      <c r="B187" s="30" t="s">
        <v>463</v>
      </c>
      <c r="C187" s="1" t="s">
        <v>24</v>
      </c>
      <c r="D187" s="1" t="s">
        <v>203</v>
      </c>
      <c r="E187" s="5">
        <v>89.65</v>
      </c>
      <c r="F187" s="5">
        <f>SUM(E187)</f>
        <v>89.65</v>
      </c>
      <c r="G187" s="16"/>
      <c r="H187" s="16"/>
      <c r="I187" s="16"/>
    </row>
    <row r="188" spans="1:9">
      <c r="A188" s="18"/>
      <c r="B188" s="17"/>
      <c r="C188" s="1"/>
      <c r="D188" s="1"/>
      <c r="E188" s="5"/>
      <c r="F188" s="5"/>
      <c r="G188" s="16"/>
      <c r="H188" s="16"/>
      <c r="I188" s="16"/>
    </row>
    <row r="189" spans="1:9">
      <c r="A189" s="41">
        <f>1+A183</f>
        <v>43</v>
      </c>
      <c r="B189" s="6" t="s">
        <v>204</v>
      </c>
      <c r="C189" s="1" t="s">
        <v>12</v>
      </c>
      <c r="D189" s="1" t="s">
        <v>205</v>
      </c>
      <c r="E189" s="5">
        <v>7914.5</v>
      </c>
      <c r="F189" s="5">
        <f>SUM(E189)</f>
        <v>7914.5</v>
      </c>
      <c r="G189" s="16"/>
      <c r="H189" s="16"/>
      <c r="I189" s="16"/>
    </row>
    <row r="190" spans="1:9">
      <c r="A190" s="18"/>
      <c r="B190" s="17"/>
      <c r="C190" s="1"/>
      <c r="D190" s="1"/>
      <c r="E190" s="5"/>
      <c r="F190" s="5"/>
      <c r="G190" s="16"/>
      <c r="H190" s="16"/>
      <c r="I190" s="16"/>
    </row>
    <row r="191" spans="1:9">
      <c r="A191" s="41">
        <f>A189+1</f>
        <v>44</v>
      </c>
      <c r="B191" s="9" t="s">
        <v>206</v>
      </c>
      <c r="G191" s="16"/>
      <c r="H191" s="16"/>
      <c r="I191" s="16"/>
    </row>
    <row r="192" spans="1:9">
      <c r="A192" s="18"/>
      <c r="B192" s="46" t="s">
        <v>51</v>
      </c>
      <c r="C192" s="1" t="s">
        <v>12</v>
      </c>
      <c r="D192" s="1" t="s">
        <v>638</v>
      </c>
      <c r="E192" s="1">
        <v>8288.35</v>
      </c>
      <c r="F192" s="5">
        <f>SUM(E192)</f>
        <v>8288.35</v>
      </c>
      <c r="G192" s="16"/>
      <c r="H192" s="16"/>
      <c r="I192" s="16"/>
    </row>
    <row r="193" spans="1:9">
      <c r="A193" s="18"/>
      <c r="B193" s="46" t="s">
        <v>445</v>
      </c>
      <c r="C193" s="1" t="s">
        <v>12</v>
      </c>
      <c r="D193" s="1" t="s">
        <v>638</v>
      </c>
      <c r="E193" s="1">
        <v>8288.35</v>
      </c>
      <c r="F193" s="5">
        <f>SUM(E193)</f>
        <v>8288.35</v>
      </c>
      <c r="G193" s="16"/>
      <c r="H193" s="16"/>
      <c r="I193" s="16"/>
    </row>
    <row r="194" spans="1:9">
      <c r="A194" s="18"/>
      <c r="B194" s="17" t="s">
        <v>52</v>
      </c>
      <c r="C194" s="1" t="s">
        <v>12</v>
      </c>
      <c r="D194" s="1" t="s">
        <v>638</v>
      </c>
      <c r="E194" s="1">
        <v>8288.35</v>
      </c>
      <c r="F194" s="5">
        <f>SUM(E194)</f>
        <v>8288.35</v>
      </c>
      <c r="G194" s="16"/>
      <c r="H194" s="16"/>
      <c r="I194" s="16"/>
    </row>
    <row r="195" spans="1:9">
      <c r="A195" s="18"/>
      <c r="B195" s="21"/>
      <c r="C195" s="1"/>
      <c r="D195" s="1"/>
      <c r="E195" s="1"/>
      <c r="F195" s="47"/>
      <c r="G195" s="16"/>
      <c r="H195" s="16"/>
      <c r="I195" s="16"/>
    </row>
    <row r="196" spans="1:9">
      <c r="A196" s="41">
        <f>1+A191</f>
        <v>45</v>
      </c>
      <c r="B196" s="8" t="s">
        <v>207</v>
      </c>
      <c r="C196" s="1"/>
      <c r="D196" s="1"/>
      <c r="E196" s="1"/>
      <c r="F196" s="47"/>
      <c r="G196" s="16"/>
      <c r="H196" s="16"/>
      <c r="I196" s="16"/>
    </row>
    <row r="197" spans="1:9">
      <c r="A197" s="18"/>
      <c r="B197" s="46" t="s">
        <v>51</v>
      </c>
      <c r="C197" s="1" t="s">
        <v>17</v>
      </c>
      <c r="D197" s="1" t="s">
        <v>208</v>
      </c>
      <c r="E197" s="5">
        <v>1018.05</v>
      </c>
      <c r="F197" s="5">
        <f>SUM(E197)</f>
        <v>1018.05</v>
      </c>
      <c r="G197" s="16"/>
      <c r="H197" s="16"/>
      <c r="I197" s="16"/>
    </row>
    <row r="198" spans="1:9">
      <c r="A198" s="18"/>
      <c r="B198" s="46" t="s">
        <v>445</v>
      </c>
      <c r="C198" s="1" t="s">
        <v>17</v>
      </c>
      <c r="D198" s="1" t="s">
        <v>208</v>
      </c>
      <c r="E198" s="5">
        <v>1018.05</v>
      </c>
      <c r="F198" s="5">
        <f>SUM(E198)</f>
        <v>1018.05</v>
      </c>
      <c r="G198" s="16"/>
      <c r="H198" s="16"/>
      <c r="I198" s="16"/>
    </row>
    <row r="199" spans="1:9">
      <c r="A199" s="18"/>
      <c r="B199" s="17" t="s">
        <v>52</v>
      </c>
      <c r="C199" s="1" t="s">
        <v>17</v>
      </c>
      <c r="D199" s="1" t="s">
        <v>208</v>
      </c>
      <c r="E199" s="5">
        <v>1018.05</v>
      </c>
      <c r="F199" s="5">
        <f>SUM(E199)</f>
        <v>1018.05</v>
      </c>
      <c r="G199" s="16"/>
      <c r="H199" s="16"/>
      <c r="I199" s="16"/>
    </row>
    <row r="200" spans="1:9">
      <c r="A200" s="18"/>
      <c r="B200" s="46"/>
      <c r="C200" s="1"/>
      <c r="D200" s="1"/>
      <c r="E200" s="5"/>
      <c r="F200" s="5"/>
      <c r="G200" s="16"/>
      <c r="H200" s="16"/>
      <c r="I200" s="16"/>
    </row>
    <row r="201" spans="1:9" ht="27.6">
      <c r="A201" s="41">
        <f>1+A196</f>
        <v>46</v>
      </c>
      <c r="B201" s="55" t="s">
        <v>209</v>
      </c>
      <c r="D201" s="1"/>
      <c r="E201" s="5"/>
      <c r="F201" s="5"/>
      <c r="G201" s="16"/>
      <c r="H201" s="16"/>
      <c r="I201" s="16"/>
    </row>
    <row r="202" spans="1:9" ht="27.6">
      <c r="A202" s="18"/>
      <c r="B202" s="46" t="s">
        <v>51</v>
      </c>
      <c r="C202" s="1" t="s">
        <v>17</v>
      </c>
      <c r="D202" s="32" t="s">
        <v>724</v>
      </c>
      <c r="E202" s="5">
        <v>11600</v>
      </c>
      <c r="F202" s="5">
        <f>SUM(E202)</f>
        <v>11600</v>
      </c>
      <c r="G202" s="16"/>
      <c r="H202" s="16"/>
      <c r="I202" s="16"/>
    </row>
    <row r="203" spans="1:9" ht="27.6">
      <c r="A203" s="11"/>
      <c r="B203" s="46" t="s">
        <v>445</v>
      </c>
      <c r="C203" s="1" t="s">
        <v>17</v>
      </c>
      <c r="D203" s="32" t="s">
        <v>724</v>
      </c>
      <c r="E203" s="5">
        <v>11600</v>
      </c>
      <c r="F203" s="5">
        <f>SUM(E203)</f>
        <v>11600</v>
      </c>
      <c r="G203" s="16"/>
      <c r="H203" s="16"/>
      <c r="I203" s="16"/>
    </row>
    <row r="204" spans="1:9" ht="27.6">
      <c r="A204" s="11"/>
      <c r="B204" s="46" t="s">
        <v>52</v>
      </c>
      <c r="C204" s="1" t="s">
        <v>17</v>
      </c>
      <c r="D204" s="32" t="s">
        <v>724</v>
      </c>
      <c r="E204" s="5">
        <v>11600</v>
      </c>
      <c r="F204" s="5">
        <f>SUM(E204)</f>
        <v>11600</v>
      </c>
      <c r="G204" s="16"/>
      <c r="H204" s="16"/>
      <c r="I204" s="16"/>
    </row>
    <row r="205" spans="1:9">
      <c r="A205" s="11"/>
      <c r="B205" s="46"/>
      <c r="C205" s="1"/>
      <c r="D205" s="1"/>
      <c r="E205" s="5"/>
      <c r="F205" s="5"/>
      <c r="G205" s="16"/>
      <c r="H205" s="16"/>
      <c r="I205" s="16"/>
    </row>
    <row r="206" spans="1:9" ht="27.6">
      <c r="A206" s="41">
        <f>1+A201</f>
        <v>47</v>
      </c>
      <c r="B206" s="6" t="s">
        <v>63</v>
      </c>
      <c r="C206" s="1" t="s">
        <v>17</v>
      </c>
      <c r="D206" s="32" t="s">
        <v>724</v>
      </c>
      <c r="E206" s="5">
        <v>11600</v>
      </c>
      <c r="F206" s="5">
        <f>SUM(E206)</f>
        <v>11600</v>
      </c>
      <c r="G206" s="16"/>
      <c r="H206" s="16"/>
      <c r="I206" s="16"/>
    </row>
    <row r="207" spans="1:9">
      <c r="A207" s="11"/>
      <c r="B207" s="46"/>
      <c r="C207" s="1"/>
      <c r="D207" s="1"/>
      <c r="E207" s="5"/>
      <c r="F207" s="5"/>
      <c r="G207" s="16"/>
      <c r="H207" s="16"/>
      <c r="I207" s="16"/>
    </row>
    <row r="208" spans="1:9">
      <c r="A208" s="41">
        <f>1+A206</f>
        <v>48</v>
      </c>
      <c r="B208" s="6" t="s">
        <v>210</v>
      </c>
      <c r="D208" s="1"/>
      <c r="E208" s="5"/>
      <c r="F208" s="5"/>
      <c r="G208" s="16"/>
      <c r="H208" s="16"/>
      <c r="I208" s="16"/>
    </row>
    <row r="209" spans="1:9">
      <c r="A209" s="18"/>
      <c r="B209" s="46" t="s">
        <v>51</v>
      </c>
      <c r="C209" s="1" t="s">
        <v>17</v>
      </c>
      <c r="D209" s="1" t="s">
        <v>211</v>
      </c>
      <c r="E209" s="5">
        <v>4781.1499999999996</v>
      </c>
      <c r="F209" s="5">
        <f>SUM(E209)</f>
        <v>4781.1499999999996</v>
      </c>
      <c r="G209" s="16"/>
      <c r="H209" s="16"/>
      <c r="I209" s="16"/>
    </row>
    <row r="210" spans="1:9">
      <c r="A210" s="18"/>
      <c r="B210" s="46"/>
      <c r="C210" s="1"/>
      <c r="D210" s="1"/>
      <c r="E210" s="5"/>
      <c r="F210" s="5"/>
      <c r="G210" s="16"/>
      <c r="H210" s="16"/>
      <c r="I210" s="16"/>
    </row>
    <row r="211" spans="1:9">
      <c r="A211" s="41">
        <f>1+A208</f>
        <v>49</v>
      </c>
      <c r="B211" s="12" t="s">
        <v>417</v>
      </c>
      <c r="D211" s="1"/>
      <c r="E211" s="5"/>
      <c r="F211" s="5"/>
      <c r="G211" s="47"/>
      <c r="H211" s="16"/>
      <c r="I211" s="16"/>
    </row>
    <row r="212" spans="1:9">
      <c r="A212" s="18"/>
      <c r="B212" s="46" t="s">
        <v>51</v>
      </c>
      <c r="C212" s="1" t="s">
        <v>49</v>
      </c>
      <c r="D212" s="1" t="s">
        <v>418</v>
      </c>
      <c r="E212" s="5">
        <v>1247.7</v>
      </c>
      <c r="F212" s="5">
        <f>SUM(E212)</f>
        <v>1247.7</v>
      </c>
      <c r="G212" s="5"/>
      <c r="H212" s="16"/>
      <c r="I212" s="16"/>
    </row>
    <row r="213" spans="1:9">
      <c r="A213" s="18"/>
      <c r="B213" s="46" t="s">
        <v>445</v>
      </c>
      <c r="C213" s="1" t="s">
        <v>10</v>
      </c>
      <c r="D213" s="1" t="s">
        <v>418</v>
      </c>
      <c r="E213" s="5">
        <v>1247.7</v>
      </c>
      <c r="F213" s="5">
        <f>SUM(E213)</f>
        <v>1247.7</v>
      </c>
      <c r="G213" s="5"/>
      <c r="H213" s="16"/>
      <c r="I213" s="16"/>
    </row>
    <row r="214" spans="1:9">
      <c r="A214" s="18"/>
      <c r="B214" s="46" t="s">
        <v>52</v>
      </c>
      <c r="C214" s="1" t="s">
        <v>10</v>
      </c>
      <c r="D214" s="1" t="s">
        <v>418</v>
      </c>
      <c r="E214" s="5">
        <v>1247.7</v>
      </c>
      <c r="F214" s="5">
        <f>SUM(E214)</f>
        <v>1247.7</v>
      </c>
      <c r="G214" s="16"/>
      <c r="H214" s="16"/>
      <c r="I214" s="16"/>
    </row>
    <row r="215" spans="1:9">
      <c r="A215" s="18"/>
      <c r="B215" s="46"/>
      <c r="C215" s="1"/>
      <c r="D215" s="1"/>
      <c r="E215" s="5"/>
      <c r="F215" s="5"/>
      <c r="G215" s="16"/>
      <c r="H215" s="16"/>
      <c r="I215" s="16"/>
    </row>
    <row r="216" spans="1:9">
      <c r="A216" s="41">
        <f>1+A211</f>
        <v>50</v>
      </c>
      <c r="B216" s="12" t="s">
        <v>416</v>
      </c>
      <c r="D216" s="1"/>
      <c r="E216" s="5"/>
      <c r="F216" s="47"/>
      <c r="G216" s="16"/>
      <c r="H216" s="16"/>
      <c r="I216" s="16"/>
    </row>
    <row r="217" spans="1:9">
      <c r="A217" s="18"/>
      <c r="B217" s="46" t="s">
        <v>51</v>
      </c>
      <c r="C217" s="1" t="s">
        <v>17</v>
      </c>
      <c r="D217" s="1" t="s">
        <v>213</v>
      </c>
      <c r="E217" s="5">
        <v>2818.5</v>
      </c>
      <c r="F217" s="5">
        <f>SUM(E217)</f>
        <v>2818.5</v>
      </c>
      <c r="G217" s="16"/>
      <c r="H217" s="16"/>
      <c r="I217" s="16"/>
    </row>
    <row r="218" spans="1:9">
      <c r="A218" s="18"/>
      <c r="B218" s="46" t="s">
        <v>445</v>
      </c>
      <c r="C218" s="1" t="s">
        <v>17</v>
      </c>
      <c r="D218" s="1" t="s">
        <v>213</v>
      </c>
      <c r="E218" s="5">
        <v>2818.5</v>
      </c>
      <c r="F218" s="5">
        <f>SUM(E218)</f>
        <v>2818.5</v>
      </c>
      <c r="G218" s="16"/>
      <c r="H218" s="16"/>
      <c r="I218" s="16"/>
    </row>
    <row r="219" spans="1:9">
      <c r="A219" s="18"/>
      <c r="B219" s="46" t="s">
        <v>52</v>
      </c>
      <c r="C219" s="1" t="s">
        <v>17</v>
      </c>
      <c r="D219" s="1" t="s">
        <v>213</v>
      </c>
      <c r="E219" s="5">
        <v>2818.5</v>
      </c>
      <c r="F219" s="5">
        <f>SUM(E219)</f>
        <v>2818.5</v>
      </c>
      <c r="G219" s="16"/>
      <c r="H219" s="16"/>
      <c r="I219" s="16"/>
    </row>
    <row r="220" spans="1:9">
      <c r="A220" s="18"/>
      <c r="B220" s="46"/>
      <c r="C220" s="11"/>
      <c r="D220" s="11"/>
      <c r="G220" s="16"/>
      <c r="H220" s="16"/>
      <c r="I220" s="16"/>
    </row>
    <row r="221" spans="1:9">
      <c r="A221" s="41">
        <f>1+A216</f>
        <v>51</v>
      </c>
      <c r="B221" s="12" t="s">
        <v>215</v>
      </c>
      <c r="D221" s="1"/>
      <c r="E221" s="5"/>
      <c r="F221" s="5"/>
      <c r="G221" s="16"/>
      <c r="H221" s="16"/>
      <c r="I221" s="16"/>
    </row>
    <row r="222" spans="1:9">
      <c r="A222" s="18"/>
      <c r="B222" s="46" t="s">
        <v>51</v>
      </c>
      <c r="C222" s="1" t="s">
        <v>49</v>
      </c>
      <c r="D222" s="1" t="s">
        <v>216</v>
      </c>
      <c r="E222" s="5">
        <v>545.6</v>
      </c>
      <c r="F222" s="5">
        <f>SUM(E222)</f>
        <v>545.6</v>
      </c>
      <c r="G222" s="16"/>
      <c r="H222" s="16"/>
      <c r="I222" s="16"/>
    </row>
    <row r="223" spans="1:9">
      <c r="A223" s="18"/>
      <c r="B223" s="46" t="s">
        <v>445</v>
      </c>
      <c r="C223" s="1" t="s">
        <v>49</v>
      </c>
      <c r="D223" s="1" t="s">
        <v>216</v>
      </c>
      <c r="E223" s="5">
        <v>545.6</v>
      </c>
      <c r="F223" s="5">
        <f>SUM(E223)</f>
        <v>545.6</v>
      </c>
      <c r="G223" s="16"/>
      <c r="H223" s="16"/>
      <c r="I223" s="16"/>
    </row>
    <row r="224" spans="1:9">
      <c r="A224" s="18"/>
      <c r="B224" s="46" t="s">
        <v>52</v>
      </c>
      <c r="C224" s="1" t="s">
        <v>49</v>
      </c>
      <c r="D224" s="1" t="s">
        <v>216</v>
      </c>
      <c r="E224" s="5">
        <v>545.6</v>
      </c>
      <c r="F224" s="5">
        <f>SUM(E224)</f>
        <v>545.6</v>
      </c>
      <c r="G224" s="16"/>
      <c r="H224" s="16"/>
      <c r="I224" s="16"/>
    </row>
    <row r="225" spans="1:9">
      <c r="A225" s="18"/>
      <c r="B225" s="46"/>
      <c r="C225" s="1"/>
      <c r="D225" s="1"/>
      <c r="E225" s="5"/>
      <c r="F225" s="47"/>
      <c r="G225" s="16"/>
      <c r="H225" s="16"/>
      <c r="I225" s="16"/>
    </row>
    <row r="226" spans="1:9">
      <c r="A226" s="41">
        <f>1+A221</f>
        <v>52</v>
      </c>
      <c r="B226" s="12" t="s">
        <v>217</v>
      </c>
      <c r="D226" s="1"/>
      <c r="E226" s="5"/>
      <c r="F226" s="5"/>
      <c r="G226" s="16"/>
      <c r="H226" s="16"/>
      <c r="I226" s="16"/>
    </row>
    <row r="227" spans="1:9">
      <c r="A227" s="18"/>
      <c r="B227" s="46" t="s">
        <v>51</v>
      </c>
      <c r="C227" s="1" t="s">
        <v>17</v>
      </c>
      <c r="D227" s="1" t="s">
        <v>218</v>
      </c>
      <c r="E227" s="5">
        <v>3654.45</v>
      </c>
      <c r="F227" s="5">
        <f>SUM(E227)</f>
        <v>3654.45</v>
      </c>
      <c r="G227" s="16"/>
      <c r="H227" s="16"/>
      <c r="I227" s="16"/>
    </row>
    <row r="228" spans="1:9">
      <c r="A228" s="18"/>
      <c r="B228" s="46" t="s">
        <v>445</v>
      </c>
      <c r="C228" s="1" t="s">
        <v>17</v>
      </c>
      <c r="D228" s="1" t="s">
        <v>218</v>
      </c>
      <c r="E228" s="5">
        <v>3654.45</v>
      </c>
      <c r="F228" s="5">
        <f>SUM(E228)</f>
        <v>3654.45</v>
      </c>
      <c r="G228" s="16"/>
      <c r="H228" s="16"/>
      <c r="I228" s="16"/>
    </row>
    <row r="229" spans="1:9">
      <c r="A229" s="18"/>
      <c r="B229" s="46" t="s">
        <v>52</v>
      </c>
      <c r="C229" s="1" t="s">
        <v>17</v>
      </c>
      <c r="D229" s="1" t="s">
        <v>218</v>
      </c>
      <c r="E229" s="5">
        <v>3654.45</v>
      </c>
      <c r="F229" s="5">
        <f>SUM(E229)</f>
        <v>3654.45</v>
      </c>
      <c r="G229" s="16"/>
      <c r="H229" s="16"/>
      <c r="I229" s="16"/>
    </row>
    <row r="230" spans="1:9">
      <c r="A230" s="18"/>
      <c r="B230" s="46"/>
      <c r="C230" s="1"/>
      <c r="D230" s="1"/>
      <c r="E230" s="5"/>
      <c r="F230" s="47"/>
      <c r="G230" s="16"/>
      <c r="H230" s="16"/>
      <c r="I230" s="16"/>
    </row>
    <row r="231" spans="1:9">
      <c r="A231" s="41">
        <f>1+A226</f>
        <v>53</v>
      </c>
      <c r="B231" s="9" t="s">
        <v>219</v>
      </c>
      <c r="D231" s="1"/>
      <c r="E231" s="5"/>
      <c r="F231" s="5"/>
      <c r="G231" s="16"/>
      <c r="H231" s="16"/>
      <c r="I231" s="16"/>
    </row>
    <row r="232" spans="1:9">
      <c r="A232" s="18"/>
      <c r="B232" s="46" t="s">
        <v>51</v>
      </c>
      <c r="C232" s="1" t="s">
        <v>24</v>
      </c>
      <c r="D232" s="1" t="s">
        <v>220</v>
      </c>
      <c r="E232" s="5">
        <v>466.3</v>
      </c>
      <c r="F232" s="5">
        <f>SUM(E232)</f>
        <v>466.3</v>
      </c>
      <c r="G232" s="16"/>
      <c r="H232" s="16"/>
      <c r="I232" s="16"/>
    </row>
    <row r="233" spans="1:9">
      <c r="A233" s="18"/>
      <c r="B233" s="46" t="s">
        <v>445</v>
      </c>
      <c r="C233" s="1" t="s">
        <v>24</v>
      </c>
      <c r="D233" s="1" t="s">
        <v>220</v>
      </c>
      <c r="E233" s="5">
        <v>466.3</v>
      </c>
      <c r="F233" s="5">
        <f>SUM(E233)</f>
        <v>466.3</v>
      </c>
      <c r="G233" s="16"/>
      <c r="H233" s="16"/>
      <c r="I233" s="16"/>
    </row>
    <row r="234" spans="1:9">
      <c r="A234" s="18"/>
      <c r="B234" s="46" t="s">
        <v>52</v>
      </c>
      <c r="C234" s="1" t="s">
        <v>24</v>
      </c>
      <c r="D234" s="1" t="s">
        <v>220</v>
      </c>
      <c r="E234" s="5">
        <v>466.3</v>
      </c>
      <c r="F234" s="5">
        <f>SUM(E234)</f>
        <v>466.3</v>
      </c>
      <c r="G234" s="16"/>
      <c r="H234" s="16"/>
      <c r="I234" s="16"/>
    </row>
    <row r="235" spans="1:9">
      <c r="A235" s="18"/>
      <c r="B235" s="46"/>
      <c r="C235" s="1"/>
      <c r="D235" s="1"/>
      <c r="E235" s="5"/>
      <c r="F235" s="5"/>
      <c r="G235" s="16"/>
      <c r="H235" s="16"/>
      <c r="I235" s="16"/>
    </row>
    <row r="236" spans="1:9">
      <c r="A236" s="41">
        <f>1+A231</f>
        <v>54</v>
      </c>
      <c r="B236" s="8" t="s">
        <v>813</v>
      </c>
      <c r="D236" s="1"/>
      <c r="E236" s="5"/>
      <c r="F236" s="5"/>
      <c r="G236" s="16"/>
      <c r="H236" s="16"/>
      <c r="I236" s="16"/>
    </row>
    <row r="237" spans="1:9">
      <c r="A237" s="18"/>
      <c r="B237" s="46" t="s">
        <v>51</v>
      </c>
      <c r="C237" s="1" t="s">
        <v>17</v>
      </c>
      <c r="D237" s="1" t="s">
        <v>811</v>
      </c>
      <c r="E237" s="5">
        <v>1496.15</v>
      </c>
      <c r="F237" s="5">
        <f>SUM(E237)</f>
        <v>1496.15</v>
      </c>
      <c r="G237" s="16"/>
      <c r="H237" s="16"/>
      <c r="I237" s="16"/>
    </row>
    <row r="238" spans="1:9">
      <c r="A238" s="18"/>
      <c r="B238" s="46" t="s">
        <v>445</v>
      </c>
      <c r="C238" s="1" t="s">
        <v>17</v>
      </c>
      <c r="D238" s="1" t="s">
        <v>811</v>
      </c>
      <c r="E238" s="5">
        <v>1496.15</v>
      </c>
      <c r="F238" s="5">
        <f>SUM(E238)</f>
        <v>1496.15</v>
      </c>
      <c r="G238" s="16"/>
      <c r="H238" s="16"/>
      <c r="I238" s="16"/>
    </row>
    <row r="239" spans="1:9">
      <c r="A239" s="18"/>
      <c r="B239" s="46" t="s">
        <v>52</v>
      </c>
      <c r="C239" s="1" t="s">
        <v>17</v>
      </c>
      <c r="D239" s="1" t="s">
        <v>811</v>
      </c>
      <c r="E239" s="5">
        <v>1496.15</v>
      </c>
      <c r="F239" s="5">
        <f>SUM(E239)</f>
        <v>1496.15</v>
      </c>
      <c r="G239" s="16"/>
      <c r="H239" s="16"/>
      <c r="I239" s="16"/>
    </row>
    <row r="240" spans="1:9">
      <c r="A240" s="18"/>
      <c r="B240" s="46"/>
      <c r="C240" s="1"/>
      <c r="D240" s="1"/>
      <c r="E240" s="5"/>
      <c r="F240" s="5"/>
      <c r="G240" s="16"/>
      <c r="H240" s="16"/>
      <c r="I240" s="16"/>
    </row>
    <row r="241" spans="1:9">
      <c r="A241" s="41">
        <f>1+A236</f>
        <v>55</v>
      </c>
      <c r="B241" s="8" t="s">
        <v>819</v>
      </c>
      <c r="C241" s="1"/>
      <c r="D241" s="1"/>
      <c r="E241" s="5"/>
      <c r="F241" s="5"/>
      <c r="G241" s="16"/>
      <c r="H241" s="16"/>
      <c r="I241" s="16"/>
    </row>
    <row r="242" spans="1:9">
      <c r="A242" s="18"/>
      <c r="B242" s="46" t="s">
        <v>51</v>
      </c>
      <c r="C242" s="1" t="s">
        <v>214</v>
      </c>
      <c r="D242" s="1" t="s">
        <v>646</v>
      </c>
      <c r="E242" s="5">
        <f>Analysis!E251</f>
        <v>1577</v>
      </c>
      <c r="F242" s="5">
        <f>SUM(E242)</f>
        <v>1577</v>
      </c>
      <c r="G242" s="16"/>
      <c r="H242" s="16"/>
      <c r="I242" s="16"/>
    </row>
    <row r="243" spans="1:9">
      <c r="A243" s="18"/>
      <c r="B243" s="46" t="s">
        <v>445</v>
      </c>
      <c r="C243" s="1" t="s">
        <v>214</v>
      </c>
      <c r="D243" s="1" t="s">
        <v>646</v>
      </c>
      <c r="E243" s="5">
        <f>Analysis!E251</f>
        <v>1577</v>
      </c>
      <c r="F243" s="5">
        <f>SUM(E243)</f>
        <v>1577</v>
      </c>
      <c r="G243" s="16"/>
      <c r="H243" s="16"/>
      <c r="I243" s="16"/>
    </row>
    <row r="244" spans="1:9">
      <c r="A244" s="18"/>
      <c r="B244" s="46" t="s">
        <v>52</v>
      </c>
      <c r="C244" s="1" t="s">
        <v>214</v>
      </c>
      <c r="D244" s="1" t="s">
        <v>646</v>
      </c>
      <c r="E244" s="5">
        <f>Analysis!E251</f>
        <v>1577</v>
      </c>
      <c r="F244" s="5">
        <f>SUM(E244)</f>
        <v>1577</v>
      </c>
      <c r="G244" s="16"/>
      <c r="H244" s="16"/>
      <c r="I244" s="16"/>
    </row>
    <row r="245" spans="1:9">
      <c r="A245" s="18"/>
      <c r="B245" s="46"/>
      <c r="C245" s="1"/>
      <c r="D245" s="1"/>
      <c r="E245" s="5"/>
      <c r="F245" s="5"/>
      <c r="G245" s="16"/>
      <c r="H245" s="16"/>
      <c r="I245" s="16"/>
    </row>
    <row r="246" spans="1:9">
      <c r="A246" s="18"/>
      <c r="B246" s="46"/>
      <c r="C246" s="1"/>
      <c r="D246" s="1"/>
      <c r="E246" s="5"/>
      <c r="F246" s="5"/>
      <c r="G246" s="16"/>
      <c r="H246" s="16"/>
      <c r="I246" s="16"/>
    </row>
    <row r="247" spans="1:9">
      <c r="A247" s="41">
        <f>1+A241</f>
        <v>56</v>
      </c>
      <c r="B247" s="8" t="s">
        <v>221</v>
      </c>
      <c r="D247" s="1"/>
      <c r="E247" s="5"/>
      <c r="F247" s="5"/>
      <c r="G247" s="16"/>
      <c r="H247" s="16"/>
      <c r="I247" s="16"/>
    </row>
    <row r="248" spans="1:9">
      <c r="A248" s="18"/>
      <c r="B248" s="46" t="s">
        <v>51</v>
      </c>
      <c r="C248" s="1" t="s">
        <v>17</v>
      </c>
      <c r="D248" s="1" t="s">
        <v>222</v>
      </c>
      <c r="E248" s="5">
        <v>1019.8</v>
      </c>
      <c r="F248" s="5">
        <f>SUM(E248)</f>
        <v>1019.8</v>
      </c>
      <c r="G248" s="16"/>
      <c r="H248" s="16"/>
      <c r="I248" s="16"/>
    </row>
    <row r="249" spans="1:9">
      <c r="A249" s="18"/>
      <c r="B249" s="46" t="s">
        <v>445</v>
      </c>
      <c r="C249" s="1" t="s">
        <v>17</v>
      </c>
      <c r="D249" s="1" t="s">
        <v>222</v>
      </c>
      <c r="E249" s="5">
        <v>1019.8</v>
      </c>
      <c r="F249" s="5">
        <f>SUM(E249)</f>
        <v>1019.8</v>
      </c>
      <c r="G249" s="16"/>
      <c r="H249" s="16"/>
      <c r="I249" s="16"/>
    </row>
    <row r="250" spans="1:9">
      <c r="A250" s="18"/>
      <c r="B250" s="46" t="s">
        <v>52</v>
      </c>
      <c r="C250" s="1" t="s">
        <v>17</v>
      </c>
      <c r="D250" s="1" t="s">
        <v>222</v>
      </c>
      <c r="E250" s="5">
        <v>1019.8</v>
      </c>
      <c r="F250" s="5">
        <f>SUM(E250)</f>
        <v>1019.8</v>
      </c>
      <c r="G250" s="16"/>
      <c r="H250" s="16"/>
      <c r="I250" s="16"/>
    </row>
    <row r="251" spans="1:9">
      <c r="A251" s="18"/>
      <c r="B251" s="6"/>
      <c r="C251" s="1"/>
      <c r="D251" s="1"/>
      <c r="E251" s="5"/>
      <c r="F251" s="5"/>
      <c r="G251" s="16"/>
      <c r="H251" s="16"/>
      <c r="I251" s="16"/>
    </row>
    <row r="252" spans="1:9">
      <c r="A252" s="41">
        <f>1+A247</f>
        <v>57</v>
      </c>
      <c r="B252" s="8" t="s">
        <v>223</v>
      </c>
      <c r="D252" s="1"/>
      <c r="E252" s="5"/>
      <c r="F252" s="5"/>
      <c r="G252" s="16"/>
      <c r="H252" s="16"/>
      <c r="I252" s="16"/>
    </row>
    <row r="253" spans="1:9">
      <c r="A253" s="18"/>
      <c r="B253" s="46" t="s">
        <v>51</v>
      </c>
      <c r="C253" s="1" t="s">
        <v>17</v>
      </c>
      <c r="D253" s="1" t="s">
        <v>224</v>
      </c>
      <c r="E253" s="5">
        <v>971.55</v>
      </c>
      <c r="F253" s="5">
        <f>SUM(E253)</f>
        <v>971.55</v>
      </c>
      <c r="G253" s="16"/>
      <c r="H253" s="16"/>
      <c r="I253" s="16"/>
    </row>
    <row r="254" spans="1:9">
      <c r="A254" s="18"/>
      <c r="B254" s="46" t="s">
        <v>445</v>
      </c>
      <c r="C254" s="1" t="s">
        <v>17</v>
      </c>
      <c r="D254" s="1" t="s">
        <v>224</v>
      </c>
      <c r="E254" s="5">
        <v>971.55</v>
      </c>
      <c r="F254" s="5">
        <f>SUM(E254)</f>
        <v>971.55</v>
      </c>
      <c r="G254" s="16"/>
      <c r="H254" s="16"/>
      <c r="I254" s="16"/>
    </row>
    <row r="255" spans="1:9">
      <c r="A255" s="18"/>
      <c r="B255" s="46" t="s">
        <v>52</v>
      </c>
      <c r="C255" s="1" t="s">
        <v>17</v>
      </c>
      <c r="D255" s="1" t="s">
        <v>224</v>
      </c>
      <c r="E255" s="5">
        <v>971.55</v>
      </c>
      <c r="F255" s="5">
        <f>SUM(E255)</f>
        <v>971.55</v>
      </c>
      <c r="G255" s="16"/>
      <c r="H255" s="16"/>
      <c r="I255" s="16"/>
    </row>
    <row r="256" spans="1:9">
      <c r="A256" s="18"/>
      <c r="B256" s="6"/>
      <c r="C256" s="1"/>
      <c r="D256" s="1"/>
      <c r="E256" s="5"/>
      <c r="F256" s="5"/>
      <c r="G256" s="16"/>
      <c r="H256" s="16"/>
      <c r="I256" s="16"/>
    </row>
    <row r="257" spans="1:9">
      <c r="A257" s="41">
        <f>1+A252</f>
        <v>58</v>
      </c>
      <c r="B257" s="6" t="s">
        <v>225</v>
      </c>
      <c r="D257" s="1"/>
      <c r="E257" s="5"/>
      <c r="F257" s="5"/>
      <c r="G257" s="16"/>
      <c r="H257" s="16"/>
      <c r="I257" s="16"/>
    </row>
    <row r="258" spans="1:9">
      <c r="A258" s="18"/>
      <c r="B258" s="46" t="s">
        <v>51</v>
      </c>
      <c r="C258" s="1" t="s">
        <v>24</v>
      </c>
      <c r="D258" s="1" t="s">
        <v>226</v>
      </c>
      <c r="E258" s="5">
        <v>142.30000000000001</v>
      </c>
      <c r="F258" s="5">
        <f>SUM(E258)</f>
        <v>142.30000000000001</v>
      </c>
      <c r="G258" s="16"/>
      <c r="H258" s="16"/>
      <c r="I258" s="16"/>
    </row>
    <row r="259" spans="1:9">
      <c r="A259" s="18"/>
      <c r="B259" s="46" t="s">
        <v>445</v>
      </c>
      <c r="C259" s="1" t="s">
        <v>24</v>
      </c>
      <c r="D259" s="1" t="s">
        <v>226</v>
      </c>
      <c r="E259" s="5">
        <v>142.30000000000001</v>
      </c>
      <c r="F259" s="5">
        <f>SUM(E259)</f>
        <v>142.30000000000001</v>
      </c>
      <c r="G259" s="16"/>
      <c r="H259" s="16"/>
      <c r="I259" s="16"/>
    </row>
    <row r="260" spans="1:9">
      <c r="A260" s="18"/>
      <c r="B260" s="46" t="s">
        <v>52</v>
      </c>
      <c r="C260" s="1" t="s">
        <v>24</v>
      </c>
      <c r="D260" s="1" t="s">
        <v>226</v>
      </c>
      <c r="E260" s="5">
        <v>142.30000000000001</v>
      </c>
      <c r="F260" s="5">
        <f>SUM(E260)</f>
        <v>142.30000000000001</v>
      </c>
      <c r="G260" s="16"/>
      <c r="H260" s="16"/>
      <c r="I260" s="16"/>
    </row>
    <row r="261" spans="1:9">
      <c r="A261" s="18"/>
      <c r="B261" s="9"/>
      <c r="C261" s="1"/>
      <c r="D261" s="1"/>
      <c r="E261" s="5"/>
      <c r="F261" s="5"/>
      <c r="G261" s="16"/>
      <c r="H261" s="16"/>
      <c r="I261" s="16"/>
    </row>
    <row r="262" spans="1:9">
      <c r="A262" s="41">
        <f>1+A257</f>
        <v>59</v>
      </c>
      <c r="B262" s="12" t="s">
        <v>227</v>
      </c>
      <c r="C262" s="1" t="s">
        <v>24</v>
      </c>
      <c r="D262" s="1" t="s">
        <v>228</v>
      </c>
      <c r="E262" s="5">
        <v>146.55000000000001</v>
      </c>
      <c r="F262" s="5">
        <f>SUM(E262)</f>
        <v>146.55000000000001</v>
      </c>
    </row>
    <row r="263" spans="1:9">
      <c r="A263" s="18"/>
      <c r="B263" s="21"/>
      <c r="C263" s="1"/>
      <c r="D263" s="1"/>
      <c r="E263" s="1"/>
      <c r="F263" s="5"/>
    </row>
    <row r="264" spans="1:9">
      <c r="A264" s="41">
        <f>1+A262</f>
        <v>60</v>
      </c>
      <c r="B264" s="12" t="s">
        <v>229</v>
      </c>
    </row>
    <row r="265" spans="1:9">
      <c r="A265" s="18"/>
      <c r="B265" s="46" t="s">
        <v>51</v>
      </c>
      <c r="C265" s="1" t="s">
        <v>17</v>
      </c>
      <c r="D265" s="1" t="s">
        <v>230</v>
      </c>
      <c r="E265" s="5">
        <v>940.3</v>
      </c>
      <c r="F265" s="5">
        <f>SUM(E265)</f>
        <v>940.3</v>
      </c>
    </row>
    <row r="266" spans="1:9">
      <c r="A266" s="18"/>
      <c r="B266" s="46" t="s">
        <v>445</v>
      </c>
      <c r="C266" s="1" t="s">
        <v>17</v>
      </c>
      <c r="D266" s="1" t="s">
        <v>230</v>
      </c>
      <c r="E266" s="5">
        <v>940.3</v>
      </c>
      <c r="F266" s="5">
        <f>SUM(E266)</f>
        <v>940.3</v>
      </c>
    </row>
    <row r="267" spans="1:9">
      <c r="A267" s="18"/>
      <c r="B267" s="46" t="s">
        <v>52</v>
      </c>
      <c r="C267" s="1" t="s">
        <v>17</v>
      </c>
      <c r="D267" s="1" t="s">
        <v>230</v>
      </c>
      <c r="E267" s="5">
        <v>940.3</v>
      </c>
      <c r="F267" s="5">
        <f>SUM(E267)</f>
        <v>940.3</v>
      </c>
    </row>
    <row r="268" spans="1:9">
      <c r="A268" s="18"/>
      <c r="B268" s="21"/>
      <c r="C268" s="1"/>
      <c r="D268" s="1"/>
      <c r="E268" s="1"/>
      <c r="F268" s="5"/>
    </row>
    <row r="269" spans="1:9">
      <c r="A269" s="41">
        <f>1+A264</f>
        <v>61</v>
      </c>
      <c r="B269" s="6" t="s">
        <v>231</v>
      </c>
      <c r="C269" s="1" t="s">
        <v>17</v>
      </c>
      <c r="D269" s="1" t="s">
        <v>232</v>
      </c>
      <c r="E269" s="5">
        <v>3008.8</v>
      </c>
      <c r="F269" s="5">
        <f>SUM(E269)</f>
        <v>3008.8</v>
      </c>
    </row>
    <row r="270" spans="1:9">
      <c r="A270" s="18"/>
      <c r="B270" s="17"/>
      <c r="C270" s="1"/>
      <c r="D270" s="5"/>
      <c r="E270" s="1"/>
      <c r="F270" s="5"/>
    </row>
    <row r="271" spans="1:9">
      <c r="A271" s="41">
        <f>1+A269</f>
        <v>62</v>
      </c>
      <c r="B271" s="6" t="s">
        <v>233</v>
      </c>
      <c r="D271" s="5"/>
      <c r="E271" s="1"/>
      <c r="F271" s="5"/>
    </row>
    <row r="272" spans="1:9">
      <c r="A272" s="18"/>
      <c r="B272" s="46" t="s">
        <v>51</v>
      </c>
      <c r="C272" s="1" t="s">
        <v>24</v>
      </c>
      <c r="D272" s="1" t="s">
        <v>234</v>
      </c>
      <c r="E272" s="5">
        <v>612.25</v>
      </c>
      <c r="F272" s="5">
        <f>SUM(E272)</f>
        <v>612.25</v>
      </c>
    </row>
    <row r="273" spans="1:7">
      <c r="A273" s="18"/>
      <c r="B273" s="46" t="s">
        <v>445</v>
      </c>
      <c r="C273" s="1" t="s">
        <v>24</v>
      </c>
      <c r="D273" s="1" t="s">
        <v>234</v>
      </c>
      <c r="E273" s="5">
        <v>612.25</v>
      </c>
      <c r="F273" s="5">
        <f>SUM(E273)</f>
        <v>612.25</v>
      </c>
    </row>
    <row r="274" spans="1:7">
      <c r="A274" s="18"/>
      <c r="B274" s="46" t="s">
        <v>52</v>
      </c>
      <c r="C274" s="1" t="s">
        <v>24</v>
      </c>
      <c r="D274" s="1" t="s">
        <v>234</v>
      </c>
      <c r="E274" s="5">
        <v>612.25</v>
      </c>
      <c r="F274" s="5">
        <f>SUM(E274)</f>
        <v>612.25</v>
      </c>
    </row>
    <row r="275" spans="1:7">
      <c r="A275" s="18"/>
      <c r="B275" s="46"/>
      <c r="C275" s="1"/>
      <c r="D275" s="5"/>
      <c r="E275" s="5"/>
      <c r="F275" s="5"/>
    </row>
    <row r="276" spans="1:7">
      <c r="A276" s="41">
        <f>1+A273</f>
        <v>1</v>
      </c>
      <c r="B276" s="12" t="s">
        <v>640</v>
      </c>
      <c r="C276" s="11"/>
      <c r="D276" s="11"/>
      <c r="G276" s="11"/>
    </row>
    <row r="277" spans="1:7">
      <c r="A277" s="18"/>
      <c r="B277" s="30" t="s">
        <v>56</v>
      </c>
      <c r="C277" s="1" t="s">
        <v>17</v>
      </c>
      <c r="D277" s="1" t="s">
        <v>641</v>
      </c>
      <c r="E277" s="1">
        <v>3111.35</v>
      </c>
      <c r="F277" s="5">
        <f t="shared" ref="F277:F278" si="0">SUM(E277)</f>
        <v>3111.35</v>
      </c>
      <c r="G277" s="5"/>
    </row>
    <row r="278" spans="1:7">
      <c r="A278" s="18"/>
      <c r="B278" s="30" t="s">
        <v>445</v>
      </c>
      <c r="C278" s="1" t="s">
        <v>17</v>
      </c>
      <c r="D278" s="1" t="s">
        <v>641</v>
      </c>
      <c r="E278" s="1">
        <v>3111.35</v>
      </c>
      <c r="F278" s="5">
        <f t="shared" si="0"/>
        <v>3111.35</v>
      </c>
      <c r="G278" s="5"/>
    </row>
    <row r="279" spans="1:7">
      <c r="A279" s="18"/>
      <c r="B279" s="6"/>
      <c r="C279" s="1"/>
      <c r="D279" s="1"/>
      <c r="E279" s="1"/>
      <c r="F279" s="1"/>
      <c r="G279" s="5"/>
    </row>
    <row r="280" spans="1:7">
      <c r="A280" s="41">
        <f>1+A276</f>
        <v>2</v>
      </c>
      <c r="B280" s="12" t="s">
        <v>604</v>
      </c>
      <c r="C280" s="11"/>
      <c r="D280" s="11"/>
      <c r="G280" s="11"/>
    </row>
    <row r="281" spans="1:7">
      <c r="A281" s="18"/>
      <c r="B281" s="30" t="s">
        <v>56</v>
      </c>
      <c r="C281" s="1" t="s">
        <v>17</v>
      </c>
      <c r="D281" s="1" t="s">
        <v>642</v>
      </c>
      <c r="E281" s="1">
        <v>4474.2</v>
      </c>
      <c r="F281" s="5">
        <f t="shared" ref="F281:F282" si="1">SUM(E281)</f>
        <v>4474.2</v>
      </c>
      <c r="G281" s="5"/>
    </row>
    <row r="282" spans="1:7">
      <c r="A282" s="18"/>
      <c r="B282" s="30" t="s">
        <v>445</v>
      </c>
      <c r="C282" s="1" t="s">
        <v>17</v>
      </c>
      <c r="D282" s="1" t="s">
        <v>642</v>
      </c>
      <c r="E282" s="1">
        <v>4474.2</v>
      </c>
      <c r="F282" s="5">
        <f t="shared" si="1"/>
        <v>4474.2</v>
      </c>
      <c r="G282" s="5"/>
    </row>
    <row r="283" spans="1:7">
      <c r="A283" s="18"/>
      <c r="B283" s="6"/>
      <c r="C283" s="1"/>
      <c r="D283" s="1"/>
      <c r="E283" s="1"/>
      <c r="F283" s="5"/>
    </row>
    <row r="284" spans="1:7">
      <c r="A284" s="41">
        <f>1+A271</f>
        <v>63</v>
      </c>
      <c r="B284" s="6" t="s">
        <v>235</v>
      </c>
      <c r="D284" s="1"/>
      <c r="E284" s="1"/>
      <c r="F284" s="5"/>
    </row>
    <row r="285" spans="1:7">
      <c r="A285" s="18"/>
      <c r="B285" s="46" t="s">
        <v>51</v>
      </c>
      <c r="C285" s="1" t="s">
        <v>17</v>
      </c>
      <c r="D285" s="1" t="s">
        <v>236</v>
      </c>
      <c r="E285" s="1">
        <v>374.15</v>
      </c>
      <c r="F285" s="5">
        <f>SUM(E285)</f>
        <v>374.15</v>
      </c>
    </row>
    <row r="286" spans="1:7">
      <c r="A286" s="18"/>
      <c r="B286" s="46" t="s">
        <v>445</v>
      </c>
      <c r="C286" s="1" t="s">
        <v>17</v>
      </c>
      <c r="D286" s="1" t="s">
        <v>236</v>
      </c>
      <c r="E286" s="1">
        <v>374.15</v>
      </c>
      <c r="F286" s="5">
        <f>SUM(E286)</f>
        <v>374.15</v>
      </c>
    </row>
    <row r="287" spans="1:7">
      <c r="A287" s="18"/>
      <c r="B287" s="46" t="s">
        <v>52</v>
      </c>
      <c r="C287" s="1" t="s">
        <v>17</v>
      </c>
      <c r="D287" s="1" t="s">
        <v>236</v>
      </c>
      <c r="E287" s="1">
        <v>374.15</v>
      </c>
      <c r="F287" s="5">
        <f>SUM(E287)</f>
        <v>374.15</v>
      </c>
    </row>
    <row r="288" spans="1:7">
      <c r="A288" s="18"/>
      <c r="B288" s="21"/>
      <c r="C288" s="1"/>
      <c r="D288" s="5"/>
      <c r="E288" s="5"/>
      <c r="F288" s="5"/>
    </row>
    <row r="289" spans="1:7">
      <c r="A289" s="41">
        <f>1+A284</f>
        <v>64</v>
      </c>
      <c r="B289" s="10" t="s">
        <v>569</v>
      </c>
      <c r="D289" s="5"/>
      <c r="E289" s="5"/>
      <c r="F289" s="5"/>
    </row>
    <row r="290" spans="1:7">
      <c r="A290" s="18"/>
      <c r="B290" s="46" t="s">
        <v>51</v>
      </c>
      <c r="C290" s="1" t="s">
        <v>17</v>
      </c>
      <c r="D290" s="1" t="s">
        <v>237</v>
      </c>
      <c r="E290" s="1">
        <v>507.85</v>
      </c>
      <c r="F290" s="5">
        <f>SUM(E290)</f>
        <v>507.85</v>
      </c>
    </row>
    <row r="291" spans="1:7">
      <c r="A291" s="18"/>
      <c r="B291" s="46" t="s">
        <v>445</v>
      </c>
      <c r="C291" s="1" t="s">
        <v>17</v>
      </c>
      <c r="D291" s="1" t="s">
        <v>237</v>
      </c>
      <c r="E291" s="1">
        <v>507.85</v>
      </c>
      <c r="F291" s="5">
        <f>SUM(E291)</f>
        <v>507.85</v>
      </c>
    </row>
    <row r="292" spans="1:7">
      <c r="A292" s="18"/>
      <c r="B292" s="46" t="s">
        <v>52</v>
      </c>
      <c r="C292" s="1" t="s">
        <v>17</v>
      </c>
      <c r="D292" s="1" t="s">
        <v>237</v>
      </c>
      <c r="E292" s="1">
        <v>507.85</v>
      </c>
      <c r="F292" s="5">
        <f>SUM(E292)</f>
        <v>507.85</v>
      </c>
    </row>
    <row r="293" spans="1:7">
      <c r="A293" s="18"/>
      <c r="B293" s="46"/>
      <c r="C293" s="1"/>
      <c r="D293" s="1"/>
      <c r="E293" s="1"/>
      <c r="F293" s="5"/>
    </row>
    <row r="294" spans="1:7">
      <c r="A294" s="41">
        <f>1+A289</f>
        <v>65</v>
      </c>
      <c r="B294" s="9" t="s">
        <v>570</v>
      </c>
      <c r="D294" s="5"/>
      <c r="E294" s="5"/>
      <c r="F294" s="5"/>
      <c r="G294" s="5"/>
    </row>
    <row r="295" spans="1:7">
      <c r="A295" s="18"/>
      <c r="B295" s="46" t="s">
        <v>51</v>
      </c>
      <c r="C295" s="1" t="s">
        <v>17</v>
      </c>
      <c r="D295" s="1" t="s">
        <v>571</v>
      </c>
      <c r="E295" s="1">
        <v>339.7</v>
      </c>
      <c r="F295" s="5">
        <f>SUM(E295)</f>
        <v>339.7</v>
      </c>
      <c r="G295" s="5"/>
    </row>
    <row r="296" spans="1:7">
      <c r="A296" s="18"/>
      <c r="B296" s="46" t="s">
        <v>445</v>
      </c>
      <c r="C296" s="1" t="s">
        <v>10</v>
      </c>
      <c r="D296" s="1" t="s">
        <v>571</v>
      </c>
      <c r="E296" s="1">
        <v>339.7</v>
      </c>
      <c r="F296" s="5">
        <f>SUM(E296)</f>
        <v>339.7</v>
      </c>
      <c r="G296" s="5"/>
    </row>
    <row r="297" spans="1:7">
      <c r="A297" s="18"/>
      <c r="B297" s="46" t="s">
        <v>52</v>
      </c>
      <c r="C297" s="1" t="s">
        <v>10</v>
      </c>
      <c r="D297" s="1" t="s">
        <v>571</v>
      </c>
      <c r="E297" s="1">
        <v>339.7</v>
      </c>
      <c r="F297" s="5">
        <f>SUM(E297)</f>
        <v>339.7</v>
      </c>
      <c r="G297" s="5"/>
    </row>
    <row r="298" spans="1:7">
      <c r="A298" s="18"/>
      <c r="B298" s="46"/>
      <c r="C298" s="1"/>
      <c r="D298" s="1"/>
      <c r="E298" s="1"/>
      <c r="F298" s="5"/>
    </row>
    <row r="299" spans="1:7">
      <c r="A299" s="41">
        <f>1+A294</f>
        <v>66</v>
      </c>
      <c r="B299" s="6" t="s">
        <v>238</v>
      </c>
      <c r="D299" s="1"/>
      <c r="E299" s="1"/>
      <c r="F299" s="5"/>
    </row>
    <row r="300" spans="1:7">
      <c r="A300" s="18"/>
      <c r="B300" s="46" t="s">
        <v>51</v>
      </c>
      <c r="C300" s="1" t="s">
        <v>17</v>
      </c>
      <c r="D300" s="1" t="s">
        <v>239</v>
      </c>
      <c r="E300" s="1">
        <v>461.85</v>
      </c>
      <c r="F300" s="5">
        <f>SUM(E300)</f>
        <v>461.85</v>
      </c>
    </row>
    <row r="301" spans="1:7">
      <c r="A301" s="18"/>
      <c r="B301" s="46" t="s">
        <v>445</v>
      </c>
      <c r="C301" s="1" t="s">
        <v>17</v>
      </c>
      <c r="D301" s="1" t="s">
        <v>239</v>
      </c>
      <c r="E301" s="1">
        <v>461.85</v>
      </c>
      <c r="F301" s="5">
        <f>SUM(E301)</f>
        <v>461.85</v>
      </c>
    </row>
    <row r="302" spans="1:7">
      <c r="A302" s="18"/>
      <c r="B302" s="46" t="s">
        <v>52</v>
      </c>
      <c r="C302" s="1" t="s">
        <v>17</v>
      </c>
      <c r="D302" s="1" t="s">
        <v>239</v>
      </c>
      <c r="E302" s="1">
        <v>461.85</v>
      </c>
      <c r="F302" s="5">
        <f>SUM(E302)</f>
        <v>461.85</v>
      </c>
    </row>
    <row r="303" spans="1:7">
      <c r="A303" s="18"/>
      <c r="B303" s="46"/>
      <c r="C303" s="1"/>
      <c r="D303" s="1"/>
      <c r="E303" s="5"/>
      <c r="F303" s="5"/>
    </row>
    <row r="304" spans="1:7">
      <c r="A304" s="41">
        <f>1+A300</f>
        <v>1</v>
      </c>
      <c r="B304" s="10" t="s">
        <v>643</v>
      </c>
      <c r="D304" s="5"/>
      <c r="E304" s="5"/>
      <c r="F304" s="5"/>
      <c r="G304" s="5"/>
    </row>
    <row r="305" spans="1:9">
      <c r="A305" s="18"/>
      <c r="B305" s="46" t="s">
        <v>51</v>
      </c>
      <c r="C305" s="1" t="s">
        <v>17</v>
      </c>
      <c r="D305" s="1" t="s">
        <v>644</v>
      </c>
      <c r="E305" s="5">
        <f>507.85+(0.224*60.55)</f>
        <v>521.41320000000007</v>
      </c>
      <c r="F305" s="5">
        <f t="shared" ref="F305:F308" si="2">SUM(E305)</f>
        <v>521.41320000000007</v>
      </c>
      <c r="G305" s="5"/>
    </row>
    <row r="306" spans="1:9">
      <c r="A306" s="18"/>
      <c r="B306" s="46" t="s">
        <v>445</v>
      </c>
      <c r="C306" s="1" t="s">
        <v>10</v>
      </c>
      <c r="D306" s="1" t="s">
        <v>644</v>
      </c>
      <c r="E306" s="5">
        <f>507.85+(0.224*60.55)</f>
        <v>521.41320000000007</v>
      </c>
      <c r="F306" s="5">
        <f t="shared" si="2"/>
        <v>521.41320000000007</v>
      </c>
      <c r="G306" s="5"/>
    </row>
    <row r="307" spans="1:9">
      <c r="A307" s="18"/>
      <c r="B307" s="17" t="s">
        <v>52</v>
      </c>
      <c r="C307" s="1" t="s">
        <v>10</v>
      </c>
      <c r="D307" s="1" t="s">
        <v>644</v>
      </c>
      <c r="E307" s="5">
        <f>507.85+(0.224*60.55)</f>
        <v>521.41320000000007</v>
      </c>
      <c r="F307" s="5">
        <f t="shared" si="2"/>
        <v>521.41320000000007</v>
      </c>
      <c r="G307" s="5"/>
    </row>
    <row r="308" spans="1:9">
      <c r="A308" s="18"/>
      <c r="B308" s="30" t="s">
        <v>463</v>
      </c>
      <c r="C308" s="1" t="s">
        <v>10</v>
      </c>
      <c r="D308" s="1" t="s">
        <v>644</v>
      </c>
      <c r="E308" s="5">
        <f>507.85+(0.224*60.55)</f>
        <v>521.41320000000007</v>
      </c>
      <c r="F308" s="5">
        <f t="shared" si="2"/>
        <v>521.41320000000007</v>
      </c>
      <c r="G308" s="5"/>
    </row>
    <row r="309" spans="1:9">
      <c r="A309" s="18"/>
      <c r="B309" s="46"/>
      <c r="C309" s="1"/>
      <c r="D309" s="1"/>
      <c r="E309" s="5"/>
      <c r="F309" s="5"/>
    </row>
    <row r="310" spans="1:9" ht="41.4">
      <c r="A310" s="41">
        <f>1+A299</f>
        <v>67</v>
      </c>
      <c r="B310" s="6" t="s">
        <v>240</v>
      </c>
      <c r="D310" s="5"/>
      <c r="E310" s="5"/>
      <c r="F310" s="5"/>
    </row>
    <row r="311" spans="1:9">
      <c r="A311" s="18"/>
      <c r="B311" s="46" t="s">
        <v>51</v>
      </c>
      <c r="C311" s="1" t="s">
        <v>49</v>
      </c>
      <c r="D311" s="1" t="s">
        <v>646</v>
      </c>
      <c r="E311" s="5">
        <f>Analysis!F65</f>
        <v>64</v>
      </c>
      <c r="F311" s="5">
        <f>SUM(E311)</f>
        <v>64</v>
      </c>
      <c r="I311" s="171"/>
    </row>
    <row r="312" spans="1:9">
      <c r="A312" s="18"/>
      <c r="B312" s="46" t="s">
        <v>445</v>
      </c>
      <c r="C312" s="1" t="s">
        <v>49</v>
      </c>
      <c r="D312" s="1" t="s">
        <v>646</v>
      </c>
      <c r="E312" s="5">
        <f>Analysis!F65</f>
        <v>64</v>
      </c>
      <c r="F312" s="5">
        <f>SUM(E312)</f>
        <v>64</v>
      </c>
      <c r="I312" s="171"/>
    </row>
    <row r="313" spans="1:9">
      <c r="A313" s="18"/>
      <c r="B313" s="46" t="s">
        <v>52</v>
      </c>
      <c r="C313" s="1" t="s">
        <v>49</v>
      </c>
      <c r="D313" s="1" t="s">
        <v>646</v>
      </c>
      <c r="E313" s="5">
        <f>Analysis!F65</f>
        <v>64</v>
      </c>
      <c r="F313" s="5">
        <f>SUM(E313)</f>
        <v>64</v>
      </c>
      <c r="I313" s="171"/>
    </row>
    <row r="314" spans="1:9">
      <c r="A314" s="18"/>
      <c r="B314" s="30" t="s">
        <v>463</v>
      </c>
      <c r="C314" s="1" t="s">
        <v>49</v>
      </c>
      <c r="D314" s="1" t="s">
        <v>646</v>
      </c>
      <c r="E314" s="5">
        <f>Analysis!F65</f>
        <v>64</v>
      </c>
      <c r="F314" s="5">
        <f>SUM(E314)</f>
        <v>64</v>
      </c>
      <c r="I314" s="171"/>
    </row>
    <row r="315" spans="1:9">
      <c r="A315" s="18"/>
      <c r="B315" s="6"/>
      <c r="C315" s="1"/>
      <c r="D315" s="5"/>
      <c r="E315" s="1"/>
      <c r="F315" s="5"/>
    </row>
    <row r="316" spans="1:9">
      <c r="A316" s="41">
        <f>1+A310</f>
        <v>68</v>
      </c>
      <c r="B316" s="6" t="s">
        <v>241</v>
      </c>
      <c r="D316" s="5"/>
      <c r="E316" s="1"/>
      <c r="F316" s="5"/>
    </row>
    <row r="317" spans="1:9">
      <c r="A317" s="18"/>
      <c r="B317" s="46" t="s">
        <v>51</v>
      </c>
      <c r="C317" s="1" t="s">
        <v>49</v>
      </c>
      <c r="D317" s="5" t="s">
        <v>242</v>
      </c>
      <c r="E317" s="5">
        <v>6.85</v>
      </c>
      <c r="F317" s="5">
        <f>SUM(E317)</f>
        <v>6.85</v>
      </c>
    </row>
    <row r="318" spans="1:9">
      <c r="A318" s="18"/>
      <c r="B318" s="46" t="s">
        <v>445</v>
      </c>
      <c r="C318" s="1" t="s">
        <v>49</v>
      </c>
      <c r="D318" s="5" t="s">
        <v>242</v>
      </c>
      <c r="E318" s="5">
        <v>6.85</v>
      </c>
      <c r="F318" s="5">
        <f>SUM(E318)</f>
        <v>6.85</v>
      </c>
    </row>
    <row r="319" spans="1:9">
      <c r="A319" s="18"/>
      <c r="B319" s="46" t="s">
        <v>52</v>
      </c>
      <c r="C319" s="1" t="s">
        <v>49</v>
      </c>
      <c r="D319" s="5" t="s">
        <v>242</v>
      </c>
      <c r="E319" s="5">
        <v>6.85</v>
      </c>
      <c r="F319" s="5">
        <f>SUM(E319)</f>
        <v>6.85</v>
      </c>
    </row>
    <row r="320" spans="1:9" s="9" customFormat="1">
      <c r="A320" s="18"/>
      <c r="B320" s="46"/>
      <c r="C320" s="1"/>
      <c r="D320" s="1"/>
      <c r="E320" s="1"/>
      <c r="F320" s="5"/>
      <c r="G320" s="14"/>
      <c r="H320" s="14"/>
      <c r="I320" s="14"/>
    </row>
    <row r="321" spans="1:6">
      <c r="A321" s="41">
        <f>1+A316</f>
        <v>69</v>
      </c>
      <c r="B321" s="9" t="s">
        <v>305</v>
      </c>
      <c r="D321" s="5"/>
      <c r="E321" s="5"/>
      <c r="F321" s="5"/>
    </row>
    <row r="322" spans="1:6">
      <c r="A322" s="18"/>
      <c r="B322" s="46" t="s">
        <v>51</v>
      </c>
      <c r="C322" s="1" t="s">
        <v>17</v>
      </c>
      <c r="D322" s="1" t="s">
        <v>250</v>
      </c>
      <c r="E322" s="1">
        <v>3908.8</v>
      </c>
      <c r="F322" s="5">
        <f>SUM(E322)</f>
        <v>3908.8</v>
      </c>
    </row>
    <row r="323" spans="1:6">
      <c r="A323" s="18"/>
      <c r="B323" s="6"/>
      <c r="C323" s="1"/>
      <c r="D323" s="1"/>
      <c r="E323" s="1"/>
      <c r="F323" s="5"/>
    </row>
    <row r="324" spans="1:6">
      <c r="A324" s="41">
        <f>1+A321</f>
        <v>70</v>
      </c>
      <c r="B324" s="6" t="s">
        <v>251</v>
      </c>
      <c r="D324" s="1"/>
      <c r="E324" s="1"/>
      <c r="F324" s="5"/>
    </row>
    <row r="325" spans="1:6">
      <c r="A325" s="18"/>
      <c r="B325" s="46" t="s">
        <v>51</v>
      </c>
      <c r="C325" s="1" t="s">
        <v>17</v>
      </c>
      <c r="D325" s="1" t="s">
        <v>250</v>
      </c>
      <c r="E325" s="1">
        <v>3908.8</v>
      </c>
      <c r="F325" s="5">
        <f>SUM(E325)</f>
        <v>3908.8</v>
      </c>
    </row>
    <row r="326" spans="1:6">
      <c r="A326" s="18"/>
      <c r="B326" s="46" t="s">
        <v>445</v>
      </c>
      <c r="C326" s="1" t="s">
        <v>17</v>
      </c>
      <c r="D326" s="1" t="s">
        <v>250</v>
      </c>
      <c r="E326" s="1">
        <v>3908.8</v>
      </c>
      <c r="F326" s="5">
        <f>SUM(E326)</f>
        <v>3908.8</v>
      </c>
    </row>
    <row r="327" spans="1:6">
      <c r="A327" s="18"/>
      <c r="B327" s="46" t="s">
        <v>52</v>
      </c>
      <c r="C327" s="1" t="s">
        <v>17</v>
      </c>
      <c r="D327" s="1" t="s">
        <v>250</v>
      </c>
      <c r="E327" s="1">
        <v>3908.8</v>
      </c>
      <c r="F327" s="5">
        <f>SUM(E327)</f>
        <v>3908.8</v>
      </c>
    </row>
    <row r="328" spans="1:6">
      <c r="A328" s="18"/>
      <c r="B328" s="9"/>
      <c r="C328" s="1"/>
      <c r="D328" s="5"/>
      <c r="E328" s="5"/>
      <c r="F328" s="5"/>
    </row>
    <row r="329" spans="1:6">
      <c r="A329" s="41">
        <f>1+A324</f>
        <v>71</v>
      </c>
      <c r="B329" s="13" t="s">
        <v>252</v>
      </c>
      <c r="D329" s="1"/>
      <c r="E329" s="1"/>
      <c r="F329" s="5"/>
    </row>
    <row r="330" spans="1:6">
      <c r="A330" s="18"/>
      <c r="B330" s="46" t="s">
        <v>51</v>
      </c>
      <c r="C330" s="1" t="s">
        <v>17</v>
      </c>
      <c r="D330" s="1" t="s">
        <v>253</v>
      </c>
      <c r="E330" s="1">
        <v>3301.45</v>
      </c>
      <c r="F330" s="5">
        <f>SUM(E330)</f>
        <v>3301.45</v>
      </c>
    </row>
    <row r="331" spans="1:6">
      <c r="A331" s="18"/>
      <c r="B331" s="46" t="s">
        <v>445</v>
      </c>
      <c r="C331" s="1" t="s">
        <v>17</v>
      </c>
      <c r="D331" s="1" t="s">
        <v>253</v>
      </c>
      <c r="E331" s="1">
        <v>3301.45</v>
      </c>
      <c r="F331" s="5">
        <f>SUM(E331)</f>
        <v>3301.45</v>
      </c>
    </row>
    <row r="332" spans="1:6">
      <c r="A332" s="18"/>
      <c r="B332" s="46" t="s">
        <v>52</v>
      </c>
      <c r="C332" s="1" t="s">
        <v>17</v>
      </c>
      <c r="D332" s="1" t="s">
        <v>253</v>
      </c>
      <c r="E332" s="1">
        <v>3301.45</v>
      </c>
      <c r="F332" s="5">
        <f>SUM(E332)</f>
        <v>3301.45</v>
      </c>
    </row>
    <row r="333" spans="1:6">
      <c r="A333" s="18"/>
      <c r="B333" s="9"/>
      <c r="C333" s="1"/>
      <c r="D333" s="5"/>
      <c r="E333" s="5"/>
      <c r="F333" s="5"/>
    </row>
    <row r="334" spans="1:6">
      <c r="A334" s="41">
        <f>1+A329</f>
        <v>72</v>
      </c>
      <c r="B334" s="6" t="s">
        <v>254</v>
      </c>
      <c r="D334" s="1"/>
      <c r="E334" s="1"/>
      <c r="F334" s="5"/>
    </row>
    <row r="335" spans="1:6">
      <c r="A335" s="18"/>
      <c r="B335" s="46" t="s">
        <v>51</v>
      </c>
      <c r="C335" s="1" t="s">
        <v>49</v>
      </c>
      <c r="D335" s="1" t="s">
        <v>255</v>
      </c>
      <c r="E335" s="1">
        <v>593.29999999999995</v>
      </c>
      <c r="F335" s="5">
        <f>SUM(E335)</f>
        <v>593.29999999999995</v>
      </c>
    </row>
    <row r="336" spans="1:6">
      <c r="A336" s="18"/>
      <c r="B336" s="46" t="s">
        <v>445</v>
      </c>
      <c r="C336" s="1" t="s">
        <v>49</v>
      </c>
      <c r="D336" s="1" t="s">
        <v>255</v>
      </c>
      <c r="E336" s="1">
        <v>593.29999999999995</v>
      </c>
      <c r="F336" s="5">
        <f>SUM(E336)</f>
        <v>593.29999999999995</v>
      </c>
    </row>
    <row r="337" spans="1:9">
      <c r="A337" s="18"/>
      <c r="B337" s="46" t="s">
        <v>52</v>
      </c>
      <c r="C337" s="1" t="s">
        <v>49</v>
      </c>
      <c r="D337" s="1" t="s">
        <v>255</v>
      </c>
      <c r="E337" s="1">
        <v>593.29999999999995</v>
      </c>
      <c r="F337" s="5">
        <f>SUM(E337)</f>
        <v>593.29999999999995</v>
      </c>
    </row>
    <row r="338" spans="1:9" s="9" customFormat="1">
      <c r="A338" s="18"/>
      <c r="B338" s="46"/>
      <c r="C338" s="1"/>
      <c r="D338" s="1"/>
      <c r="E338" s="1"/>
      <c r="F338" s="5"/>
      <c r="G338" s="14"/>
      <c r="H338" s="14"/>
      <c r="I338" s="14"/>
    </row>
    <row r="339" spans="1:9" s="9" customFormat="1">
      <c r="A339" s="41">
        <f>1+A334</f>
        <v>73</v>
      </c>
      <c r="B339" s="10" t="s">
        <v>244</v>
      </c>
      <c r="D339" s="5"/>
      <c r="E339" s="5"/>
      <c r="F339" s="1"/>
      <c r="G339" s="1"/>
      <c r="H339" s="1"/>
      <c r="I339" s="1"/>
    </row>
    <row r="340" spans="1:9" s="9" customFormat="1">
      <c r="A340" s="18"/>
      <c r="B340" s="46" t="s">
        <v>51</v>
      </c>
      <c r="C340" s="1" t="s">
        <v>17</v>
      </c>
      <c r="D340" s="1" t="s">
        <v>245</v>
      </c>
      <c r="E340" s="1">
        <v>1416.65</v>
      </c>
      <c r="F340" s="5">
        <f>SUM(E340)</f>
        <v>1416.65</v>
      </c>
      <c r="G340" s="1"/>
      <c r="H340" s="1"/>
      <c r="I340" s="1"/>
    </row>
    <row r="341" spans="1:9" s="9" customFormat="1">
      <c r="A341" s="18"/>
      <c r="B341" s="46" t="s">
        <v>445</v>
      </c>
      <c r="C341" s="1" t="s">
        <v>17</v>
      </c>
      <c r="D341" s="1" t="s">
        <v>245</v>
      </c>
      <c r="E341" s="1">
        <v>1416.65</v>
      </c>
      <c r="F341" s="5">
        <f>SUM(E341)</f>
        <v>1416.65</v>
      </c>
      <c r="G341" s="1"/>
      <c r="H341" s="1"/>
      <c r="I341" s="1"/>
    </row>
    <row r="342" spans="1:9" s="9" customFormat="1">
      <c r="A342" s="18"/>
      <c r="B342" s="46" t="s">
        <v>52</v>
      </c>
      <c r="C342" s="1" t="s">
        <v>17</v>
      </c>
      <c r="D342" s="1" t="s">
        <v>245</v>
      </c>
      <c r="E342" s="1">
        <v>1416.65</v>
      </c>
      <c r="F342" s="5">
        <f>SUM(E342)</f>
        <v>1416.65</v>
      </c>
      <c r="G342" s="1"/>
      <c r="H342" s="1"/>
      <c r="I342" s="1"/>
    </row>
    <row r="343" spans="1:9" s="9" customFormat="1">
      <c r="A343" s="18"/>
      <c r="B343" s="46"/>
      <c r="C343" s="1"/>
      <c r="D343" s="1"/>
      <c r="E343" s="1"/>
      <c r="F343" s="5"/>
      <c r="G343" s="1"/>
      <c r="H343" s="1"/>
      <c r="I343" s="1"/>
    </row>
    <row r="344" spans="1:9">
      <c r="A344" s="41">
        <f>1+A339</f>
        <v>74</v>
      </c>
      <c r="B344" s="9" t="s">
        <v>248</v>
      </c>
      <c r="D344" s="1"/>
      <c r="E344" s="1"/>
      <c r="F344" s="5"/>
    </row>
    <row r="345" spans="1:9">
      <c r="A345" s="18"/>
      <c r="B345" s="46" t="s">
        <v>51</v>
      </c>
      <c r="C345" s="1" t="s">
        <v>17</v>
      </c>
      <c r="D345" s="1" t="s">
        <v>247</v>
      </c>
      <c r="E345" s="1">
        <v>1466.5</v>
      </c>
      <c r="F345" s="5">
        <f>SUM(E345)</f>
        <v>1466.5</v>
      </c>
    </row>
    <row r="346" spans="1:9">
      <c r="A346" s="18"/>
      <c r="B346" s="46" t="s">
        <v>445</v>
      </c>
      <c r="C346" s="1" t="s">
        <v>17</v>
      </c>
      <c r="D346" s="1" t="s">
        <v>247</v>
      </c>
      <c r="E346" s="1">
        <v>1466.5</v>
      </c>
      <c r="F346" s="5">
        <f>SUM(E346)</f>
        <v>1466.5</v>
      </c>
    </row>
    <row r="347" spans="1:9">
      <c r="A347" s="18"/>
      <c r="B347" s="46" t="s">
        <v>52</v>
      </c>
      <c r="C347" s="1" t="s">
        <v>17</v>
      </c>
      <c r="D347" s="1" t="s">
        <v>247</v>
      </c>
      <c r="E347" s="1">
        <v>1466.5</v>
      </c>
      <c r="F347" s="5">
        <f>SUM(E347)</f>
        <v>1466.5</v>
      </c>
    </row>
    <row r="348" spans="1:9" s="9" customFormat="1">
      <c r="A348" s="18"/>
      <c r="B348" s="46"/>
      <c r="C348" s="1"/>
      <c r="D348" s="1"/>
      <c r="E348" s="1"/>
      <c r="F348" s="5"/>
      <c r="G348" s="1"/>
      <c r="H348" s="1"/>
      <c r="I348" s="1"/>
    </row>
    <row r="349" spans="1:9">
      <c r="A349" s="41">
        <f>1+A344</f>
        <v>75</v>
      </c>
      <c r="B349" s="6" t="s">
        <v>246</v>
      </c>
      <c r="D349" s="1"/>
      <c r="E349" s="1"/>
      <c r="F349" s="5"/>
    </row>
    <row r="350" spans="1:9">
      <c r="A350" s="18"/>
      <c r="B350" s="46" t="s">
        <v>51</v>
      </c>
      <c r="C350" s="1" t="s">
        <v>17</v>
      </c>
      <c r="D350" s="1" t="s">
        <v>247</v>
      </c>
      <c r="E350" s="1">
        <v>1466.5</v>
      </c>
      <c r="F350" s="5">
        <f>SUM(E350)</f>
        <v>1466.5</v>
      </c>
    </row>
    <row r="351" spans="1:9">
      <c r="A351" s="18"/>
      <c r="B351" s="46" t="s">
        <v>445</v>
      </c>
      <c r="C351" s="1" t="s">
        <v>17</v>
      </c>
      <c r="D351" s="1" t="s">
        <v>247</v>
      </c>
      <c r="E351" s="1">
        <v>1466.5</v>
      </c>
      <c r="F351" s="5">
        <f>SUM(E351)</f>
        <v>1466.5</v>
      </c>
    </row>
    <row r="352" spans="1:9">
      <c r="A352" s="18"/>
      <c r="B352" s="21"/>
      <c r="C352" s="1"/>
      <c r="D352" s="1"/>
      <c r="E352" s="1"/>
      <c r="F352" s="5"/>
    </row>
    <row r="353" spans="1:9">
      <c r="A353" s="41">
        <f>1+A349</f>
        <v>76</v>
      </c>
      <c r="B353" s="13" t="s">
        <v>249</v>
      </c>
      <c r="D353" s="1"/>
      <c r="E353" s="1"/>
      <c r="F353" s="5"/>
    </row>
    <row r="354" spans="1:9">
      <c r="A354" s="18"/>
      <c r="B354" s="46" t="s">
        <v>51</v>
      </c>
      <c r="C354" s="1" t="s">
        <v>17</v>
      </c>
      <c r="D354" s="1" t="s">
        <v>247</v>
      </c>
      <c r="E354" s="1">
        <v>1466.5</v>
      </c>
      <c r="F354" s="5">
        <f>SUM(E354)</f>
        <v>1466.5</v>
      </c>
    </row>
    <row r="355" spans="1:9">
      <c r="A355" s="18"/>
      <c r="B355" s="46" t="s">
        <v>445</v>
      </c>
      <c r="C355" s="1" t="s">
        <v>17</v>
      </c>
      <c r="D355" s="1" t="s">
        <v>247</v>
      </c>
      <c r="E355" s="1">
        <v>1466.5</v>
      </c>
      <c r="F355" s="5">
        <f>SUM(E355)</f>
        <v>1466.5</v>
      </c>
    </row>
    <row r="356" spans="1:9">
      <c r="A356" s="18"/>
      <c r="B356" s="13"/>
      <c r="C356" s="1"/>
      <c r="D356" s="5"/>
      <c r="E356" s="5"/>
      <c r="F356" s="5"/>
    </row>
    <row r="357" spans="1:9" s="9" customFormat="1">
      <c r="A357" s="41">
        <f>1+A353</f>
        <v>77</v>
      </c>
      <c r="B357" s="10" t="s">
        <v>572</v>
      </c>
      <c r="D357" s="1"/>
      <c r="E357" s="1"/>
      <c r="F357" s="5"/>
      <c r="G357" s="14"/>
      <c r="H357" s="14"/>
      <c r="I357" s="14"/>
    </row>
    <row r="358" spans="1:9" s="9" customFormat="1">
      <c r="A358" s="18"/>
      <c r="B358" s="46" t="s">
        <v>51</v>
      </c>
      <c r="C358" s="1" t="s">
        <v>17</v>
      </c>
      <c r="D358" s="1" t="s">
        <v>243</v>
      </c>
      <c r="E358" s="1">
        <v>1706.6</v>
      </c>
      <c r="F358" s="5">
        <f>SUM(E358)</f>
        <v>1706.6</v>
      </c>
      <c r="G358" s="14"/>
      <c r="H358" s="14"/>
      <c r="I358" s="14"/>
    </row>
    <row r="359" spans="1:9" s="9" customFormat="1">
      <c r="A359" s="18"/>
      <c r="B359" s="46" t="s">
        <v>445</v>
      </c>
      <c r="C359" s="1" t="s">
        <v>17</v>
      </c>
      <c r="D359" s="1" t="s">
        <v>243</v>
      </c>
      <c r="E359" s="1">
        <v>1706.6</v>
      </c>
      <c r="F359" s="5">
        <f>SUM(E359)</f>
        <v>1706.6</v>
      </c>
      <c r="G359" s="1"/>
      <c r="H359" s="1"/>
      <c r="I359" s="1"/>
    </row>
    <row r="360" spans="1:9" s="9" customFormat="1">
      <c r="A360" s="18"/>
      <c r="B360" s="46" t="s">
        <v>52</v>
      </c>
      <c r="C360" s="1" t="s">
        <v>17</v>
      </c>
      <c r="D360" s="1" t="s">
        <v>243</v>
      </c>
      <c r="E360" s="1">
        <v>1706.6</v>
      </c>
      <c r="F360" s="5">
        <f>SUM(E360)</f>
        <v>1706.6</v>
      </c>
      <c r="G360" s="1"/>
      <c r="H360" s="1"/>
      <c r="I360" s="1"/>
    </row>
    <row r="361" spans="1:9" s="9" customFormat="1">
      <c r="A361" s="18"/>
      <c r="B361" s="21"/>
      <c r="C361" s="1"/>
      <c r="D361" s="1"/>
      <c r="E361" s="1"/>
      <c r="F361" s="1"/>
      <c r="G361" s="1"/>
      <c r="H361" s="1"/>
      <c r="I361" s="1"/>
    </row>
    <row r="362" spans="1:9" s="9" customFormat="1">
      <c r="A362" s="41">
        <f>1+A360</f>
        <v>1</v>
      </c>
      <c r="B362" s="10" t="s">
        <v>711</v>
      </c>
      <c r="C362" s="1" t="s">
        <v>17</v>
      </c>
      <c r="D362" s="8" t="s">
        <v>712</v>
      </c>
      <c r="E362" s="1"/>
      <c r="F362" s="5">
        <f>F358*30%+F360</f>
        <v>2218.58</v>
      </c>
      <c r="G362" s="5"/>
      <c r="H362" s="1"/>
      <c r="I362" s="1"/>
    </row>
    <row r="363" spans="1:9" s="9" customFormat="1">
      <c r="A363" s="18"/>
      <c r="B363" s="21"/>
      <c r="C363" s="1"/>
      <c r="D363" s="1"/>
      <c r="E363" s="1"/>
      <c r="F363" s="1"/>
      <c r="G363" s="1"/>
      <c r="H363" s="1"/>
      <c r="I363" s="1"/>
    </row>
    <row r="364" spans="1:9" ht="27.6">
      <c r="A364" s="41">
        <f>1+A357</f>
        <v>78</v>
      </c>
      <c r="B364" s="6" t="s">
        <v>573</v>
      </c>
      <c r="C364" s="1" t="s">
        <v>12</v>
      </c>
      <c r="D364" s="5" t="s">
        <v>256</v>
      </c>
      <c r="E364" s="5">
        <f>8277.55-191.1</f>
        <v>8086.4499999999989</v>
      </c>
      <c r="F364" s="5">
        <f>SUM(E364)</f>
        <v>8086.4499999999989</v>
      </c>
    </row>
    <row r="365" spans="1:9">
      <c r="A365" s="18"/>
      <c r="B365" s="46"/>
      <c r="C365" s="1"/>
      <c r="D365" s="5"/>
      <c r="E365" s="5"/>
      <c r="F365" s="5"/>
    </row>
    <row r="366" spans="1:9">
      <c r="A366" s="41">
        <f>1+A364</f>
        <v>79</v>
      </c>
      <c r="B366" s="10" t="s">
        <v>257</v>
      </c>
      <c r="D366" s="5"/>
      <c r="E366" s="5"/>
      <c r="F366" s="5"/>
    </row>
    <row r="367" spans="1:9">
      <c r="A367" s="18"/>
      <c r="B367" s="46" t="s">
        <v>51</v>
      </c>
      <c r="C367" s="1" t="s">
        <v>17</v>
      </c>
      <c r="D367" s="1" t="s">
        <v>258</v>
      </c>
      <c r="E367" s="5">
        <v>935.6</v>
      </c>
      <c r="F367" s="5">
        <f>SUM(E367)</f>
        <v>935.6</v>
      </c>
    </row>
    <row r="368" spans="1:9">
      <c r="A368" s="18"/>
      <c r="B368" s="46" t="s">
        <v>445</v>
      </c>
      <c r="C368" s="1" t="s">
        <v>17</v>
      </c>
      <c r="D368" s="1" t="s">
        <v>258</v>
      </c>
      <c r="E368" s="5">
        <v>935.6</v>
      </c>
      <c r="F368" s="5">
        <f>SUM(E368)</f>
        <v>935.6</v>
      </c>
    </row>
    <row r="369" spans="1:10">
      <c r="A369" s="18"/>
      <c r="B369" s="46" t="s">
        <v>52</v>
      </c>
      <c r="C369" s="1" t="s">
        <v>17</v>
      </c>
      <c r="D369" s="1" t="s">
        <v>258</v>
      </c>
      <c r="E369" s="5">
        <v>935.6</v>
      </c>
      <c r="F369" s="5">
        <f>SUM(E369)</f>
        <v>935.6</v>
      </c>
    </row>
    <row r="370" spans="1:10">
      <c r="A370" s="18"/>
      <c r="B370" s="30" t="s">
        <v>463</v>
      </c>
      <c r="C370" s="1" t="s">
        <v>17</v>
      </c>
      <c r="D370" s="1" t="s">
        <v>258</v>
      </c>
      <c r="E370" s="5">
        <v>935.6</v>
      </c>
      <c r="F370" s="5">
        <f>SUM(E370)</f>
        <v>935.6</v>
      </c>
    </row>
    <row r="371" spans="1:10">
      <c r="A371" s="18"/>
      <c r="C371" s="1"/>
      <c r="D371" s="1"/>
      <c r="E371" s="1"/>
      <c r="F371" s="5"/>
    </row>
    <row r="372" spans="1:10">
      <c r="A372" s="41">
        <f>1+A366</f>
        <v>80</v>
      </c>
      <c r="B372" s="10" t="s">
        <v>259</v>
      </c>
      <c r="D372" s="1"/>
      <c r="E372" s="1"/>
      <c r="F372" s="5"/>
    </row>
    <row r="373" spans="1:10">
      <c r="A373" s="18"/>
      <c r="B373" s="46" t="s">
        <v>51</v>
      </c>
      <c r="C373" s="1" t="s">
        <v>17</v>
      </c>
      <c r="D373" s="1" t="s">
        <v>260</v>
      </c>
      <c r="E373" s="5">
        <v>938.5</v>
      </c>
      <c r="F373" s="5">
        <f>SUM(E373)</f>
        <v>938.5</v>
      </c>
    </row>
    <row r="374" spans="1:10">
      <c r="A374" s="18"/>
      <c r="B374" s="46" t="s">
        <v>445</v>
      </c>
      <c r="C374" s="1" t="s">
        <v>17</v>
      </c>
      <c r="D374" s="1" t="s">
        <v>260</v>
      </c>
      <c r="E374" s="5">
        <v>938.5</v>
      </c>
      <c r="F374" s="5">
        <f>SUM(E374)</f>
        <v>938.5</v>
      </c>
    </row>
    <row r="375" spans="1:10">
      <c r="A375" s="18"/>
      <c r="B375" s="46" t="s">
        <v>52</v>
      </c>
      <c r="C375" s="1" t="s">
        <v>17</v>
      </c>
      <c r="D375" s="1" t="s">
        <v>260</v>
      </c>
      <c r="E375" s="5">
        <v>938.5</v>
      </c>
      <c r="F375" s="5">
        <f>SUM(E375)</f>
        <v>938.5</v>
      </c>
    </row>
    <row r="376" spans="1:10">
      <c r="A376" s="18"/>
      <c r="B376" s="30" t="s">
        <v>463</v>
      </c>
      <c r="C376" s="1" t="s">
        <v>17</v>
      </c>
      <c r="D376" s="1" t="s">
        <v>260</v>
      </c>
      <c r="E376" s="5">
        <v>938.5</v>
      </c>
      <c r="F376" s="5">
        <f>SUM(E376)</f>
        <v>938.5</v>
      </c>
    </row>
    <row r="377" spans="1:10">
      <c r="A377" s="18"/>
      <c r="B377" s="46"/>
      <c r="C377" s="1"/>
      <c r="D377" s="1"/>
      <c r="E377" s="1"/>
      <c r="F377" s="5"/>
    </row>
    <row r="378" spans="1:10">
      <c r="A378" s="41">
        <f>1+A372</f>
        <v>81</v>
      </c>
      <c r="B378" s="9" t="s">
        <v>261</v>
      </c>
      <c r="C378" s="1" t="s">
        <v>17</v>
      </c>
      <c r="D378" s="5" t="s">
        <v>262</v>
      </c>
      <c r="E378" s="5">
        <v>545</v>
      </c>
      <c r="F378" s="5">
        <f>SUM(E378)</f>
        <v>545</v>
      </c>
    </row>
    <row r="379" spans="1:10">
      <c r="A379" s="18"/>
      <c r="B379" s="46"/>
      <c r="C379" s="11"/>
      <c r="D379" s="11"/>
    </row>
    <row r="380" spans="1:10">
      <c r="A380" s="41">
        <f>1+A378</f>
        <v>82</v>
      </c>
      <c r="B380" s="9" t="s">
        <v>263</v>
      </c>
      <c r="C380" s="1" t="s">
        <v>17</v>
      </c>
      <c r="D380" s="5" t="s">
        <v>264</v>
      </c>
      <c r="E380" s="5">
        <v>928.65</v>
      </c>
      <c r="F380" s="5">
        <f>SUM(E380)</f>
        <v>928.65</v>
      </c>
    </row>
    <row r="381" spans="1:10">
      <c r="A381" s="18"/>
      <c r="B381" s="46"/>
      <c r="C381" s="1"/>
      <c r="D381" s="5"/>
      <c r="E381" s="1"/>
      <c r="F381" s="5"/>
    </row>
    <row r="382" spans="1:10">
      <c r="A382" s="41">
        <f>1+A380</f>
        <v>83</v>
      </c>
      <c r="B382" s="9" t="s">
        <v>645</v>
      </c>
      <c r="C382" s="1" t="s">
        <v>17</v>
      </c>
      <c r="D382" s="1" t="s">
        <v>646</v>
      </c>
      <c r="E382" s="5">
        <f>Analysis!C39</f>
        <v>1170</v>
      </c>
      <c r="F382" s="5">
        <f>SUM(E382)</f>
        <v>1170</v>
      </c>
      <c r="G382" s="5"/>
    </row>
    <row r="383" spans="1:10">
      <c r="A383" s="18"/>
      <c r="B383" s="46"/>
      <c r="C383" s="1"/>
      <c r="D383" s="5"/>
      <c r="E383" s="1"/>
      <c r="F383" s="5"/>
    </row>
    <row r="384" spans="1:10" ht="55.2">
      <c r="A384" s="41">
        <f>1+A382</f>
        <v>84</v>
      </c>
      <c r="B384" s="32" t="s">
        <v>631</v>
      </c>
      <c r="C384" s="1"/>
      <c r="D384" s="5"/>
      <c r="E384" s="5"/>
      <c r="F384" s="5"/>
      <c r="G384" s="5"/>
      <c r="J384" s="14"/>
    </row>
    <row r="385" spans="1:10">
      <c r="A385" s="18"/>
      <c r="B385" s="17" t="s">
        <v>56</v>
      </c>
      <c r="C385" s="1" t="s">
        <v>49</v>
      </c>
      <c r="D385" s="118" t="s">
        <v>646</v>
      </c>
      <c r="E385" s="5">
        <f>Analysis!C30</f>
        <v>85</v>
      </c>
      <c r="F385" s="5">
        <f t="shared" ref="F385:F386" si="3">SUM(E385)</f>
        <v>85</v>
      </c>
      <c r="G385" s="5"/>
      <c r="J385" s="14"/>
    </row>
    <row r="386" spans="1:10">
      <c r="A386" s="18"/>
      <c r="B386" s="17" t="s">
        <v>57</v>
      </c>
      <c r="C386" s="1" t="s">
        <v>10</v>
      </c>
      <c r="D386" s="118" t="s">
        <v>646</v>
      </c>
      <c r="E386" s="5">
        <f>Analysis!C30</f>
        <v>85</v>
      </c>
      <c r="F386" s="5">
        <f t="shared" si="3"/>
        <v>85</v>
      </c>
      <c r="G386" s="5"/>
      <c r="J386" s="14"/>
    </row>
    <row r="387" spans="1:10">
      <c r="A387" s="18"/>
      <c r="B387" s="46"/>
      <c r="C387" s="1"/>
      <c r="D387" s="5"/>
      <c r="E387" s="1"/>
      <c r="F387" s="5"/>
    </row>
    <row r="388" spans="1:10" ht="41.4">
      <c r="A388" s="41">
        <f>1+A380</f>
        <v>83</v>
      </c>
      <c r="B388" s="10" t="s">
        <v>265</v>
      </c>
      <c r="D388" s="5"/>
      <c r="E388" s="5"/>
      <c r="F388" s="5"/>
    </row>
    <row r="389" spans="1:10">
      <c r="A389" s="18"/>
      <c r="B389" s="46" t="s">
        <v>51</v>
      </c>
      <c r="C389" s="1" t="s">
        <v>49</v>
      </c>
      <c r="D389" s="1" t="s">
        <v>266</v>
      </c>
      <c r="E389" s="1">
        <v>319.75</v>
      </c>
      <c r="F389" s="5">
        <f>SUM(E389)</f>
        <v>319.75</v>
      </c>
    </row>
    <row r="390" spans="1:10">
      <c r="A390" s="18"/>
      <c r="B390" s="46" t="s">
        <v>445</v>
      </c>
      <c r="C390" s="1" t="s">
        <v>49</v>
      </c>
      <c r="D390" s="1" t="s">
        <v>266</v>
      </c>
      <c r="E390" s="1">
        <v>319.75</v>
      </c>
      <c r="F390" s="5">
        <f>SUM(E390)</f>
        <v>319.75</v>
      </c>
    </row>
    <row r="391" spans="1:10">
      <c r="A391" s="18"/>
      <c r="B391" s="46" t="s">
        <v>445</v>
      </c>
      <c r="C391" s="1" t="s">
        <v>49</v>
      </c>
      <c r="D391" s="1" t="s">
        <v>266</v>
      </c>
      <c r="E391" s="1">
        <v>319.75</v>
      </c>
      <c r="F391" s="5">
        <f>SUM(E391)</f>
        <v>319.75</v>
      </c>
    </row>
    <row r="392" spans="1:10">
      <c r="A392" s="18"/>
      <c r="B392" s="49"/>
      <c r="C392" s="1"/>
      <c r="D392" s="5"/>
      <c r="E392" s="1"/>
      <c r="F392" s="5"/>
    </row>
    <row r="393" spans="1:10">
      <c r="A393" s="41">
        <f>1+A388</f>
        <v>84</v>
      </c>
      <c r="B393" s="6" t="s">
        <v>267</v>
      </c>
      <c r="D393" s="5"/>
      <c r="E393" s="5"/>
      <c r="F393" s="5"/>
    </row>
    <row r="394" spans="1:10">
      <c r="A394" s="18"/>
      <c r="B394" s="46" t="s">
        <v>51</v>
      </c>
      <c r="C394" s="1" t="s">
        <v>17</v>
      </c>
      <c r="D394" s="5" t="s">
        <v>576</v>
      </c>
      <c r="E394" s="5">
        <f>158.95</f>
        <v>158.94999999999999</v>
      </c>
      <c r="F394" s="5">
        <f>SUM(E394)</f>
        <v>158.94999999999999</v>
      </c>
    </row>
    <row r="395" spans="1:10">
      <c r="A395" s="18"/>
      <c r="B395" s="46" t="s">
        <v>445</v>
      </c>
      <c r="C395" s="1" t="s">
        <v>17</v>
      </c>
      <c r="D395" s="5" t="s">
        <v>576</v>
      </c>
      <c r="E395" s="5">
        <f>158.95</f>
        <v>158.94999999999999</v>
      </c>
      <c r="F395" s="5">
        <f>SUM(E395)</f>
        <v>158.94999999999999</v>
      </c>
    </row>
    <row r="396" spans="1:10">
      <c r="A396" s="18"/>
      <c r="B396" s="17" t="s">
        <v>52</v>
      </c>
      <c r="C396" s="1" t="s">
        <v>17</v>
      </c>
      <c r="D396" s="5" t="s">
        <v>576</v>
      </c>
      <c r="E396" s="5">
        <f>158.95</f>
        <v>158.94999999999999</v>
      </c>
      <c r="F396" s="5">
        <f>SUM(E396)</f>
        <v>158.94999999999999</v>
      </c>
    </row>
    <row r="397" spans="1:10">
      <c r="A397" s="18"/>
      <c r="C397" s="1"/>
      <c r="D397" s="5"/>
      <c r="E397" s="5"/>
      <c r="F397" s="5"/>
    </row>
    <row r="398" spans="1:10">
      <c r="A398" s="41">
        <f>1+A393</f>
        <v>85</v>
      </c>
      <c r="B398" s="6" t="s">
        <v>574</v>
      </c>
      <c r="D398" s="5"/>
      <c r="E398" s="5"/>
      <c r="F398" s="5"/>
      <c r="G398" s="5"/>
    </row>
    <row r="399" spans="1:10">
      <c r="A399" s="18"/>
      <c r="B399" s="46" t="s">
        <v>51</v>
      </c>
      <c r="C399" s="1" t="s">
        <v>17</v>
      </c>
      <c r="D399" s="5" t="s">
        <v>575</v>
      </c>
      <c r="E399" s="5">
        <v>123.85</v>
      </c>
      <c r="F399" s="5">
        <f>SUM(E399)</f>
        <v>123.85</v>
      </c>
      <c r="G399" s="5"/>
    </row>
    <row r="400" spans="1:10">
      <c r="A400" s="18"/>
      <c r="B400" s="46" t="s">
        <v>52</v>
      </c>
      <c r="C400" s="1"/>
      <c r="D400" s="5" t="s">
        <v>575</v>
      </c>
      <c r="E400" s="5">
        <v>123.85</v>
      </c>
      <c r="F400" s="5">
        <f>SUM(E400)</f>
        <v>123.85</v>
      </c>
      <c r="G400" s="5"/>
    </row>
    <row r="401" spans="1:7">
      <c r="A401" s="18"/>
      <c r="B401" s="46" t="s">
        <v>52</v>
      </c>
      <c r="C401" s="1"/>
      <c r="D401" s="5" t="s">
        <v>575</v>
      </c>
      <c r="E401" s="5">
        <v>123.85</v>
      </c>
      <c r="F401" s="5">
        <f>SUM(E401)</f>
        <v>123.85</v>
      </c>
      <c r="G401" s="5"/>
    </row>
    <row r="402" spans="1:7">
      <c r="A402" s="18"/>
      <c r="C402" s="1"/>
      <c r="D402" s="5"/>
      <c r="E402" s="5"/>
      <c r="F402" s="5"/>
    </row>
    <row r="403" spans="1:7">
      <c r="A403" s="41">
        <f>1+A398</f>
        <v>86</v>
      </c>
      <c r="B403" s="6" t="s">
        <v>268</v>
      </c>
      <c r="D403" s="5"/>
      <c r="E403" s="1"/>
      <c r="F403" s="47"/>
    </row>
    <row r="404" spans="1:7">
      <c r="A404" s="18"/>
      <c r="B404" s="46" t="s">
        <v>51</v>
      </c>
      <c r="C404" s="1" t="s">
        <v>17</v>
      </c>
      <c r="D404" s="5" t="s">
        <v>269</v>
      </c>
      <c r="E404" s="5">
        <v>245</v>
      </c>
      <c r="F404" s="5">
        <f>SUM(E404)</f>
        <v>245</v>
      </c>
    </row>
    <row r="405" spans="1:7">
      <c r="A405" s="18"/>
      <c r="B405" s="46" t="s">
        <v>445</v>
      </c>
      <c r="C405" s="1" t="s">
        <v>17</v>
      </c>
      <c r="D405" s="5" t="s">
        <v>269</v>
      </c>
      <c r="E405" s="5">
        <v>245</v>
      </c>
      <c r="F405" s="5">
        <f>SUM(E405)</f>
        <v>245</v>
      </c>
    </row>
    <row r="406" spans="1:7">
      <c r="A406" s="18"/>
      <c r="B406" s="17" t="s">
        <v>52</v>
      </c>
      <c r="C406" s="1" t="s">
        <v>17</v>
      </c>
      <c r="D406" s="5" t="s">
        <v>269</v>
      </c>
      <c r="E406" s="5">
        <v>245</v>
      </c>
      <c r="F406" s="5">
        <f>SUM(E406)</f>
        <v>245</v>
      </c>
    </row>
    <row r="407" spans="1:7">
      <c r="A407" s="18"/>
      <c r="B407" s="17"/>
      <c r="C407" s="1"/>
      <c r="D407" s="38"/>
      <c r="E407" s="5"/>
      <c r="F407" s="5"/>
    </row>
    <row r="408" spans="1:7">
      <c r="A408" s="41">
        <f>1+A403</f>
        <v>87</v>
      </c>
      <c r="B408" s="9" t="s">
        <v>270</v>
      </c>
      <c r="C408" s="1" t="s">
        <v>17</v>
      </c>
      <c r="D408" s="5" t="s">
        <v>271</v>
      </c>
      <c r="E408" s="5">
        <v>191.4</v>
      </c>
      <c r="F408" s="5">
        <f>SUM(E408)</f>
        <v>191.4</v>
      </c>
    </row>
    <row r="409" spans="1:7">
      <c r="A409" s="18"/>
      <c r="D409" s="5"/>
      <c r="E409" s="5"/>
      <c r="F409" s="5"/>
    </row>
    <row r="410" spans="1:7">
      <c r="A410" s="41">
        <f>1+A408</f>
        <v>88</v>
      </c>
      <c r="B410" s="9" t="s">
        <v>577</v>
      </c>
      <c r="C410" s="1" t="s">
        <v>17</v>
      </c>
      <c r="D410" s="5" t="s">
        <v>578</v>
      </c>
      <c r="E410" s="5">
        <v>144.9</v>
      </c>
      <c r="F410" s="5">
        <f>SUM(E410)</f>
        <v>144.9</v>
      </c>
      <c r="G410" s="5"/>
    </row>
    <row r="411" spans="1:7">
      <c r="A411" s="41"/>
      <c r="B411" s="9"/>
      <c r="C411" s="1"/>
      <c r="D411" s="5"/>
      <c r="E411" s="5"/>
      <c r="F411" s="5"/>
      <c r="G411" s="5"/>
    </row>
    <row r="412" spans="1:7">
      <c r="A412" s="41">
        <f>1+A410</f>
        <v>89</v>
      </c>
      <c r="B412" s="9" t="s">
        <v>579</v>
      </c>
      <c r="C412" s="1" t="s">
        <v>17</v>
      </c>
      <c r="D412" s="5" t="s">
        <v>271</v>
      </c>
      <c r="E412" s="5">
        <v>191.4</v>
      </c>
      <c r="F412" s="5">
        <f>SUM(E412)</f>
        <v>191.4</v>
      </c>
      <c r="G412" s="5"/>
    </row>
    <row r="413" spans="1:7">
      <c r="A413" s="18"/>
      <c r="D413" s="5"/>
      <c r="E413" s="5"/>
      <c r="F413" s="5"/>
    </row>
    <row r="414" spans="1:7">
      <c r="A414" s="18"/>
      <c r="D414" s="5"/>
      <c r="E414" s="5"/>
      <c r="F414" s="5"/>
    </row>
    <row r="415" spans="1:7">
      <c r="A415" s="41">
        <f>1+A429</f>
        <v>95</v>
      </c>
      <c r="B415" s="6" t="s">
        <v>274</v>
      </c>
      <c r="C415" s="1" t="s">
        <v>17</v>
      </c>
      <c r="D415" s="38" t="s">
        <v>275</v>
      </c>
      <c r="E415" s="1">
        <v>256.14999999999998</v>
      </c>
      <c r="F415" s="5">
        <f>SUM(E415)</f>
        <v>256.14999999999998</v>
      </c>
    </row>
    <row r="416" spans="1:7">
      <c r="A416" s="18"/>
      <c r="D416" s="5"/>
      <c r="E416" s="5"/>
      <c r="F416" s="5"/>
    </row>
    <row r="417" spans="1:10">
      <c r="A417" s="41">
        <f>1+A412</f>
        <v>90</v>
      </c>
      <c r="B417" s="6" t="s">
        <v>272</v>
      </c>
      <c r="D417" s="5"/>
      <c r="E417" s="1"/>
      <c r="F417" s="47"/>
    </row>
    <row r="418" spans="1:10">
      <c r="A418" s="18"/>
      <c r="B418" s="46" t="s">
        <v>445</v>
      </c>
      <c r="C418" s="1" t="s">
        <v>17</v>
      </c>
      <c r="D418" s="1" t="s">
        <v>273</v>
      </c>
      <c r="E418" s="5">
        <v>1522.95</v>
      </c>
      <c r="F418" s="5">
        <f>SUM(E418)</f>
        <v>1522.95</v>
      </c>
    </row>
    <row r="419" spans="1:10">
      <c r="A419" s="18"/>
      <c r="B419" s="46" t="s">
        <v>52</v>
      </c>
      <c r="C419" s="1" t="s">
        <v>17</v>
      </c>
      <c r="D419" s="1" t="s">
        <v>273</v>
      </c>
      <c r="E419" s="5">
        <v>1522.95</v>
      </c>
      <c r="F419" s="5">
        <f>SUM(E419)</f>
        <v>1522.95</v>
      </c>
    </row>
    <row r="420" spans="1:10">
      <c r="A420" s="18"/>
      <c r="B420" s="46"/>
      <c r="C420" s="1"/>
      <c r="D420" s="1"/>
      <c r="E420" s="5"/>
      <c r="F420" s="5"/>
    </row>
    <row r="421" spans="1:10" ht="96.6">
      <c r="A421" s="41">
        <f>1+A417</f>
        <v>91</v>
      </c>
      <c r="B421" s="6" t="s">
        <v>632</v>
      </c>
      <c r="C421" s="1"/>
      <c r="D421" s="5"/>
      <c r="E421" s="5"/>
      <c r="F421" s="5"/>
      <c r="G421" s="47"/>
    </row>
    <row r="422" spans="1:10">
      <c r="A422" s="18"/>
      <c r="B422" s="46" t="s">
        <v>445</v>
      </c>
      <c r="C422" s="1" t="s">
        <v>17</v>
      </c>
      <c r="D422" s="1" t="s">
        <v>722</v>
      </c>
      <c r="E422" s="5">
        <v>516.6</v>
      </c>
      <c r="F422" s="5">
        <f>SUM(E422)</f>
        <v>516.6</v>
      </c>
      <c r="G422" s="5"/>
    </row>
    <row r="423" spans="1:10">
      <c r="A423" s="18"/>
      <c r="B423" s="46" t="s">
        <v>52</v>
      </c>
      <c r="C423" s="1" t="s">
        <v>17</v>
      </c>
      <c r="D423" s="1" t="s">
        <v>722</v>
      </c>
      <c r="E423" s="5">
        <v>516.6</v>
      </c>
      <c r="F423" s="5">
        <f>SUM(E423)</f>
        <v>516.6</v>
      </c>
      <c r="G423" s="5"/>
    </row>
    <row r="424" spans="1:10">
      <c r="A424" s="18"/>
      <c r="B424" s="46"/>
      <c r="C424" s="1"/>
      <c r="D424" s="5"/>
      <c r="E424" s="5"/>
      <c r="F424" s="5"/>
      <c r="G424" s="5"/>
    </row>
    <row r="425" spans="1:10">
      <c r="A425" s="41">
        <f>1+A421</f>
        <v>92</v>
      </c>
      <c r="B425" s="10" t="s">
        <v>668</v>
      </c>
      <c r="C425" s="1" t="s">
        <v>24</v>
      </c>
      <c r="D425" s="1" t="s">
        <v>234</v>
      </c>
      <c r="E425" s="5">
        <v>612.25</v>
      </c>
      <c r="F425" s="5">
        <f>SUM(E425)</f>
        <v>612.25</v>
      </c>
      <c r="G425" s="5"/>
      <c r="J425" s="14"/>
    </row>
    <row r="426" spans="1:10">
      <c r="A426" s="18"/>
      <c r="B426" s="21"/>
      <c r="C426" s="1"/>
      <c r="D426" s="5"/>
      <c r="E426" s="5"/>
      <c r="F426" s="47"/>
    </row>
    <row r="427" spans="1:10">
      <c r="A427" s="41">
        <f>1+A425</f>
        <v>93</v>
      </c>
      <c r="B427" s="10" t="s">
        <v>622</v>
      </c>
      <c r="C427" s="1" t="s">
        <v>17</v>
      </c>
      <c r="D427" s="38" t="s">
        <v>725</v>
      </c>
      <c r="E427" s="5">
        <v>1247.5</v>
      </c>
      <c r="F427" s="5">
        <f>SUM(E427)</f>
        <v>1247.5</v>
      </c>
    </row>
    <row r="428" spans="1:10">
      <c r="A428" s="18"/>
      <c r="B428" s="21"/>
      <c r="C428" s="1"/>
      <c r="D428" s="5"/>
      <c r="E428" s="5"/>
      <c r="F428" s="47"/>
    </row>
    <row r="429" spans="1:10">
      <c r="A429" s="41">
        <f>1+A427</f>
        <v>94</v>
      </c>
      <c r="B429" s="6" t="s">
        <v>596</v>
      </c>
      <c r="D429" s="1"/>
      <c r="E429" s="1"/>
      <c r="F429" s="47"/>
    </row>
    <row r="430" spans="1:10">
      <c r="A430" s="18"/>
      <c r="B430" s="46" t="s">
        <v>51</v>
      </c>
      <c r="C430" s="1" t="s">
        <v>49</v>
      </c>
      <c r="D430" s="5" t="s">
        <v>768</v>
      </c>
      <c r="E430" s="5">
        <f>Analysis!F84</f>
        <v>22</v>
      </c>
      <c r="F430" s="5">
        <f>SUM(E430)</f>
        <v>22</v>
      </c>
      <c r="J430" s="172"/>
    </row>
    <row r="431" spans="1:10">
      <c r="A431" s="18"/>
      <c r="B431" s="46" t="s">
        <v>445</v>
      </c>
      <c r="C431" s="1" t="s">
        <v>49</v>
      </c>
      <c r="D431" s="5" t="s">
        <v>768</v>
      </c>
      <c r="E431" s="5">
        <f>Analysis!F84</f>
        <v>22</v>
      </c>
      <c r="F431" s="5">
        <f>SUM(E431)</f>
        <v>22</v>
      </c>
    </row>
    <row r="432" spans="1:10">
      <c r="A432" s="18"/>
      <c r="B432" s="46" t="s">
        <v>52</v>
      </c>
      <c r="C432" s="1" t="s">
        <v>49</v>
      </c>
      <c r="D432" s="5" t="s">
        <v>768</v>
      </c>
      <c r="E432" s="5">
        <f>Analysis!F84</f>
        <v>22</v>
      </c>
      <c r="F432" s="5">
        <f>SUM(E432)</f>
        <v>22</v>
      </c>
    </row>
    <row r="433" spans="1:6">
      <c r="A433" s="18"/>
      <c r="B433" s="46"/>
      <c r="C433" s="1"/>
      <c r="D433" s="1"/>
      <c r="E433" s="1"/>
      <c r="F433" s="5"/>
    </row>
    <row r="434" spans="1:6">
      <c r="A434" s="41">
        <f>1+A415</f>
        <v>96</v>
      </c>
      <c r="B434" s="6" t="s">
        <v>276</v>
      </c>
      <c r="C434" s="1" t="s">
        <v>24</v>
      </c>
      <c r="D434" s="38" t="s">
        <v>226</v>
      </c>
      <c r="E434" s="5">
        <v>142.30000000000001</v>
      </c>
      <c r="F434" s="5">
        <f>SUM(E434)</f>
        <v>142.30000000000001</v>
      </c>
    </row>
    <row r="435" spans="1:6">
      <c r="A435" s="18"/>
      <c r="B435" s="46"/>
      <c r="C435" s="1"/>
      <c r="D435" s="5"/>
      <c r="E435" s="5"/>
      <c r="F435" s="5"/>
    </row>
    <row r="436" spans="1:6">
      <c r="A436" s="41">
        <f>1+A434</f>
        <v>97</v>
      </c>
      <c r="B436" s="12" t="s">
        <v>277</v>
      </c>
      <c r="C436" s="1" t="s">
        <v>24</v>
      </c>
      <c r="D436" s="1" t="s">
        <v>278</v>
      </c>
      <c r="E436" s="1">
        <v>154.9</v>
      </c>
      <c r="F436" s="5">
        <f>SUM(E436)</f>
        <v>154.9</v>
      </c>
    </row>
    <row r="437" spans="1:6">
      <c r="A437" s="18"/>
      <c r="B437" s="46"/>
      <c r="C437" s="1"/>
      <c r="D437" s="5"/>
      <c r="E437" s="5"/>
      <c r="F437" s="5"/>
    </row>
    <row r="438" spans="1:6">
      <c r="A438" s="41">
        <f>1+A436</f>
        <v>98</v>
      </c>
      <c r="B438" s="6" t="s">
        <v>279</v>
      </c>
      <c r="C438" s="1" t="s">
        <v>47</v>
      </c>
      <c r="D438" s="1" t="s">
        <v>280</v>
      </c>
      <c r="E438" s="1">
        <v>671.55</v>
      </c>
      <c r="F438" s="5">
        <f>SUM(E438)</f>
        <v>671.55</v>
      </c>
    </row>
    <row r="439" spans="1:6">
      <c r="D439" s="1"/>
      <c r="E439" s="1"/>
      <c r="F439" s="14"/>
    </row>
    <row r="440" spans="1:6">
      <c r="A440" s="41">
        <f>1+A438</f>
        <v>99</v>
      </c>
      <c r="B440" s="6" t="s">
        <v>281</v>
      </c>
      <c r="C440" s="1" t="s">
        <v>53</v>
      </c>
      <c r="D440" s="5" t="s">
        <v>282</v>
      </c>
      <c r="E440" s="5">
        <v>1110.5999999999999</v>
      </c>
      <c r="F440" s="5">
        <f>SUM(E440)</f>
        <v>1110.5999999999999</v>
      </c>
    </row>
    <row r="441" spans="1:6">
      <c r="A441" s="18"/>
      <c r="B441" s="46"/>
      <c r="C441" s="1"/>
      <c r="D441" s="5"/>
      <c r="E441" s="5"/>
      <c r="F441" s="5"/>
    </row>
    <row r="442" spans="1:6">
      <c r="A442" s="41">
        <f>1+A440</f>
        <v>100</v>
      </c>
      <c r="B442" s="6" t="s">
        <v>283</v>
      </c>
      <c r="C442" s="1" t="s">
        <v>49</v>
      </c>
      <c r="D442" s="5" t="s">
        <v>284</v>
      </c>
      <c r="E442" s="5">
        <v>450.6</v>
      </c>
      <c r="F442" s="5">
        <f>SUM(E442)</f>
        <v>450.6</v>
      </c>
    </row>
    <row r="443" spans="1:6">
      <c r="C443" s="1"/>
      <c r="D443" s="5"/>
      <c r="E443" s="5"/>
      <c r="F443" s="5"/>
    </row>
    <row r="444" spans="1:6">
      <c r="A444" s="41">
        <f>1+A442</f>
        <v>101</v>
      </c>
      <c r="B444" s="6" t="s">
        <v>285</v>
      </c>
      <c r="C444" s="1" t="s">
        <v>49</v>
      </c>
      <c r="D444" s="5" t="s">
        <v>286</v>
      </c>
      <c r="E444" s="5">
        <v>412.85</v>
      </c>
      <c r="F444" s="5">
        <f>SUM(E444)</f>
        <v>412.85</v>
      </c>
    </row>
    <row r="445" spans="1:6">
      <c r="D445" s="1"/>
      <c r="E445" s="1"/>
      <c r="F445" s="14"/>
    </row>
    <row r="446" spans="1:6">
      <c r="A446" s="41">
        <f>1+A444</f>
        <v>102</v>
      </c>
      <c r="B446" s="12" t="s">
        <v>287</v>
      </c>
      <c r="C446" s="1" t="s">
        <v>24</v>
      </c>
      <c r="D446" s="1" t="s">
        <v>226</v>
      </c>
      <c r="E446" s="1">
        <v>142.30000000000001</v>
      </c>
      <c r="F446" s="5">
        <f>SUM(E446)</f>
        <v>142.30000000000001</v>
      </c>
    </row>
    <row r="447" spans="1:6">
      <c r="D447" s="1"/>
      <c r="E447" s="1"/>
      <c r="F447" s="14"/>
    </row>
    <row r="448" spans="1:6">
      <c r="A448" s="41">
        <f>1+A446</f>
        <v>103</v>
      </c>
      <c r="B448" s="6" t="s">
        <v>289</v>
      </c>
      <c r="C448" s="1" t="s">
        <v>12</v>
      </c>
      <c r="D448" s="5" t="s">
        <v>290</v>
      </c>
      <c r="E448" s="5">
        <v>8613.5499999999993</v>
      </c>
      <c r="F448" s="5">
        <f>SUM(E448)</f>
        <v>8613.5499999999993</v>
      </c>
    </row>
    <row r="449" spans="1:7">
      <c r="D449" s="1"/>
      <c r="E449" s="1"/>
      <c r="F449" s="14"/>
    </row>
    <row r="450" spans="1:7" ht="41.4">
      <c r="A450" s="41">
        <f>1+A448</f>
        <v>104</v>
      </c>
      <c r="B450" s="6" t="s">
        <v>291</v>
      </c>
      <c r="C450" s="1" t="s">
        <v>9</v>
      </c>
      <c r="D450" s="1" t="s">
        <v>180</v>
      </c>
      <c r="E450" s="1">
        <v>10719.3</v>
      </c>
      <c r="F450" s="5">
        <f>SUM(E450)</f>
        <v>10719.3</v>
      </c>
    </row>
    <row r="451" spans="1:7">
      <c r="D451" s="1"/>
      <c r="E451" s="1"/>
      <c r="F451" s="14"/>
    </row>
    <row r="452" spans="1:7">
      <c r="A452" s="41">
        <f>1+A450</f>
        <v>105</v>
      </c>
      <c r="B452" s="10" t="s">
        <v>292</v>
      </c>
      <c r="C452" s="48" t="s">
        <v>17</v>
      </c>
      <c r="D452" s="5" t="s">
        <v>293</v>
      </c>
      <c r="E452" s="5">
        <v>1011.2</v>
      </c>
      <c r="F452" s="5">
        <f>SUM(E452)</f>
        <v>1011.2</v>
      </c>
    </row>
    <row r="453" spans="1:7">
      <c r="D453" s="1"/>
      <c r="E453" s="1"/>
      <c r="F453" s="14"/>
    </row>
    <row r="454" spans="1:7">
      <c r="A454" s="41">
        <f>1+A452</f>
        <v>106</v>
      </c>
      <c r="B454" s="10" t="s">
        <v>294</v>
      </c>
      <c r="C454" s="11"/>
      <c r="D454" s="11"/>
      <c r="G454" s="11"/>
    </row>
    <row r="455" spans="1:7">
      <c r="B455" s="11" t="s">
        <v>295</v>
      </c>
      <c r="C455" s="48" t="s">
        <v>49</v>
      </c>
      <c r="D455" s="5" t="s">
        <v>296</v>
      </c>
      <c r="E455" s="5">
        <v>902.05</v>
      </c>
      <c r="F455" s="5">
        <f>SUM(E455)</f>
        <v>902.05</v>
      </c>
    </row>
    <row r="456" spans="1:7">
      <c r="B456" s="11" t="s">
        <v>297</v>
      </c>
      <c r="C456" s="48" t="s">
        <v>49</v>
      </c>
      <c r="D456" s="5" t="s">
        <v>296</v>
      </c>
      <c r="E456" s="5">
        <v>902.05</v>
      </c>
      <c r="F456" s="5">
        <f>SUM(E456)</f>
        <v>902.05</v>
      </c>
    </row>
    <row r="458" spans="1:7">
      <c r="A458" s="18">
        <f>A454+1</f>
        <v>107</v>
      </c>
      <c r="B458" s="9" t="s">
        <v>761</v>
      </c>
      <c r="C458" s="14"/>
      <c r="D458" s="42"/>
      <c r="E458" s="5"/>
      <c r="F458" s="1"/>
      <c r="G458" s="11"/>
    </row>
    <row r="459" spans="1:7">
      <c r="A459" s="46"/>
      <c r="B459" s="12" t="s">
        <v>762</v>
      </c>
      <c r="C459" s="1" t="s">
        <v>24</v>
      </c>
      <c r="D459" s="173" t="s">
        <v>226</v>
      </c>
      <c r="E459" s="5">
        <v>142.30000000000001</v>
      </c>
      <c r="F459" s="5">
        <f t="shared" ref="F459" si="4">SUM(E459)</f>
        <v>142.30000000000001</v>
      </c>
      <c r="G459" s="11"/>
    </row>
    <row r="460" spans="1:7">
      <c r="A460" s="46"/>
      <c r="B460" s="12"/>
      <c r="C460" s="1"/>
      <c r="D460" s="173"/>
      <c r="E460" s="5"/>
      <c r="F460" s="5"/>
      <c r="G460" s="11"/>
    </row>
    <row r="461" spans="1:7">
      <c r="A461" s="41">
        <f>1+A458</f>
        <v>108</v>
      </c>
      <c r="B461" s="11" t="s">
        <v>807</v>
      </c>
      <c r="C461" s="1" t="s">
        <v>53</v>
      </c>
      <c r="D461" s="5" t="s">
        <v>768</v>
      </c>
      <c r="E461" s="5">
        <f>Analysis!C241</f>
        <v>2714</v>
      </c>
      <c r="F461" s="5">
        <f>SUM(E461)</f>
        <v>2714</v>
      </c>
    </row>
    <row r="462" spans="1:7">
      <c r="A462" s="46"/>
      <c r="B462" s="12"/>
      <c r="C462" s="1"/>
      <c r="D462" s="173"/>
      <c r="E462" s="5"/>
      <c r="F462" s="5"/>
      <c r="G462" s="11"/>
    </row>
    <row r="463" spans="1:7">
      <c r="A463" s="41">
        <f>1+A461</f>
        <v>109</v>
      </c>
      <c r="B463" s="9" t="s">
        <v>693</v>
      </c>
      <c r="C463" s="48"/>
      <c r="G463" s="11"/>
    </row>
    <row r="464" spans="1:7">
      <c r="A464" s="41"/>
      <c r="B464" s="32" t="s">
        <v>767</v>
      </c>
      <c r="C464" s="14" t="s">
        <v>49</v>
      </c>
      <c r="D464" s="5" t="s">
        <v>768</v>
      </c>
      <c r="E464" s="5">
        <f>Analysis!F112</f>
        <v>533</v>
      </c>
      <c r="F464" s="5">
        <f>SUM(E464)</f>
        <v>533</v>
      </c>
      <c r="G464" s="174"/>
    </row>
    <row r="465" spans="1:7">
      <c r="A465" s="41"/>
      <c r="B465" s="6"/>
      <c r="C465" s="14"/>
      <c r="D465" s="5"/>
      <c r="E465" s="5"/>
      <c r="F465" s="5"/>
      <c r="G465" s="11"/>
    </row>
    <row r="466" spans="1:7">
      <c r="A466" s="41">
        <f>1+A463</f>
        <v>110</v>
      </c>
      <c r="B466" s="9" t="s">
        <v>694</v>
      </c>
      <c r="C466" s="48" t="s">
        <v>288</v>
      </c>
      <c r="D466" s="5" t="s">
        <v>768</v>
      </c>
      <c r="E466" s="5">
        <f>Analysis!F134</f>
        <v>137</v>
      </c>
      <c r="F466" s="5">
        <f>SUM(E466)</f>
        <v>137</v>
      </c>
      <c r="G466" s="5"/>
    </row>
    <row r="467" spans="1:7">
      <c r="A467" s="41"/>
      <c r="B467" s="9"/>
      <c r="C467" s="48"/>
      <c r="D467" s="5"/>
      <c r="E467" s="5"/>
      <c r="F467" s="5"/>
      <c r="G467" s="5"/>
    </row>
    <row r="468" spans="1:7">
      <c r="A468" s="41">
        <f>1+A466</f>
        <v>111</v>
      </c>
      <c r="B468" s="6" t="s">
        <v>713</v>
      </c>
      <c r="C468" s="48" t="s">
        <v>288</v>
      </c>
      <c r="D468" s="5" t="s">
        <v>714</v>
      </c>
      <c r="E468" s="5">
        <v>487.1</v>
      </c>
      <c r="F468" s="5">
        <f>SUM(E468)</f>
        <v>487.1</v>
      </c>
      <c r="G468" s="5"/>
    </row>
    <row r="469" spans="1:7">
      <c r="A469" s="41"/>
      <c r="B469" s="6"/>
      <c r="C469" s="48"/>
      <c r="D469" s="5"/>
      <c r="E469" s="5"/>
      <c r="F469" s="5"/>
      <c r="G469" s="5"/>
    </row>
    <row r="470" spans="1:7">
      <c r="A470" s="41">
        <f>1+A468</f>
        <v>112</v>
      </c>
      <c r="B470" s="124" t="s">
        <v>695</v>
      </c>
      <c r="C470" s="48" t="s">
        <v>19</v>
      </c>
      <c r="D470" s="1" t="s">
        <v>234</v>
      </c>
      <c r="E470" s="5">
        <v>612.25</v>
      </c>
      <c r="F470" s="5">
        <f>SUM(E470)</f>
        <v>612.25</v>
      </c>
      <c r="G470" s="5"/>
    </row>
    <row r="471" spans="1:7">
      <c r="G471" s="11"/>
    </row>
    <row r="472" spans="1:7">
      <c r="A472" s="18">
        <f>A470+1</f>
        <v>113</v>
      </c>
      <c r="B472" s="124" t="s">
        <v>799</v>
      </c>
      <c r="C472" s="48" t="s">
        <v>288</v>
      </c>
      <c r="D472" s="5" t="s">
        <v>768</v>
      </c>
      <c r="E472" s="5">
        <f>Analysis!F161</f>
        <v>509</v>
      </c>
      <c r="F472" s="5">
        <f>SUM(E472)</f>
        <v>509</v>
      </c>
      <c r="G472" s="5"/>
    </row>
    <row r="473" spans="1:7">
      <c r="A473" s="18"/>
      <c r="B473" s="9"/>
      <c r="G473" s="11"/>
    </row>
    <row r="474" spans="1:7">
      <c r="A474" s="18">
        <f>A472+1</f>
        <v>114</v>
      </c>
      <c r="B474" s="124" t="s">
        <v>800</v>
      </c>
      <c r="C474" s="48" t="s">
        <v>288</v>
      </c>
      <c r="D474" s="5" t="s">
        <v>768</v>
      </c>
      <c r="E474" s="5">
        <f>Analysis!F188</f>
        <v>1517</v>
      </c>
      <c r="F474" s="5">
        <f>SUM(E474)</f>
        <v>1517</v>
      </c>
      <c r="G474" s="5"/>
    </row>
    <row r="476" spans="1:7">
      <c r="A476" s="18">
        <f>A474+1</f>
        <v>115</v>
      </c>
      <c r="B476" s="9" t="s">
        <v>719</v>
      </c>
      <c r="C476" s="48" t="s">
        <v>49</v>
      </c>
      <c r="D476" s="5" t="s">
        <v>768</v>
      </c>
      <c r="E476" s="5">
        <f>Analysis!F233</f>
        <v>410</v>
      </c>
      <c r="F476" s="5">
        <f>SUM(E476)</f>
        <v>410</v>
      </c>
    </row>
  </sheetData>
  <mergeCells count="2">
    <mergeCell ref="A2:G2"/>
    <mergeCell ref="A1:G1"/>
  </mergeCells>
  <pageMargins left="0.7" right="0.7" top="0.75" bottom="0.75" header="0.3" footer="0.3"/>
  <pageSetup orientation="portrait"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51"/>
  <sheetViews>
    <sheetView workbookViewId="0">
      <selection activeCell="H169" sqref="H169"/>
    </sheetView>
  </sheetViews>
  <sheetFormatPr defaultRowHeight="13.2"/>
  <cols>
    <col min="1" max="1" width="5.44140625" style="116" customWidth="1"/>
    <col min="2" max="2" width="42.88671875" style="116" customWidth="1"/>
    <col min="3" max="3" width="8.44140625" style="118" customWidth="1"/>
    <col min="4" max="4" width="8" style="119" customWidth="1"/>
    <col min="5" max="5" width="14" style="119" customWidth="1"/>
    <col min="6" max="6" width="9.109375" style="119"/>
    <col min="7" max="7" width="3.6640625" style="119" customWidth="1"/>
    <col min="8" max="8" width="63.44140625" style="119" customWidth="1"/>
    <col min="9" max="256" width="9.109375" style="119"/>
    <col min="257" max="257" width="5.44140625" style="119" customWidth="1"/>
    <col min="258" max="258" width="56.109375" style="119" customWidth="1"/>
    <col min="259" max="259" width="9.109375" style="119"/>
    <col min="260" max="260" width="6.6640625" style="119" customWidth="1"/>
    <col min="261" max="261" width="27.44140625" style="119" customWidth="1"/>
    <col min="262" max="512" width="9.109375" style="119"/>
    <col min="513" max="513" width="5.44140625" style="119" customWidth="1"/>
    <col min="514" max="514" width="56.109375" style="119" customWidth="1"/>
    <col min="515" max="515" width="9.109375" style="119"/>
    <col min="516" max="516" width="6.6640625" style="119" customWidth="1"/>
    <col min="517" max="517" width="27.44140625" style="119" customWidth="1"/>
    <col min="518" max="768" width="9.109375" style="119"/>
    <col min="769" max="769" width="5.44140625" style="119" customWidth="1"/>
    <col min="770" max="770" width="56.109375" style="119" customWidth="1"/>
    <col min="771" max="771" width="9.109375" style="119"/>
    <col min="772" max="772" width="6.6640625" style="119" customWidth="1"/>
    <col min="773" max="773" width="27.44140625" style="119" customWidth="1"/>
    <col min="774" max="1024" width="9.109375" style="119"/>
    <col min="1025" max="1025" width="5.44140625" style="119" customWidth="1"/>
    <col min="1026" max="1026" width="56.109375" style="119" customWidth="1"/>
    <col min="1027" max="1027" width="9.109375" style="119"/>
    <col min="1028" max="1028" width="6.6640625" style="119" customWidth="1"/>
    <col min="1029" max="1029" width="27.44140625" style="119" customWidth="1"/>
    <col min="1030" max="1280" width="9.109375" style="119"/>
    <col min="1281" max="1281" width="5.44140625" style="119" customWidth="1"/>
    <col min="1282" max="1282" width="56.109375" style="119" customWidth="1"/>
    <col min="1283" max="1283" width="9.109375" style="119"/>
    <col min="1284" max="1284" width="6.6640625" style="119" customWidth="1"/>
    <col min="1285" max="1285" width="27.44140625" style="119" customWidth="1"/>
    <col min="1286" max="1536" width="9.109375" style="119"/>
    <col min="1537" max="1537" width="5.44140625" style="119" customWidth="1"/>
    <col min="1538" max="1538" width="56.109375" style="119" customWidth="1"/>
    <col min="1539" max="1539" width="9.109375" style="119"/>
    <col min="1540" max="1540" width="6.6640625" style="119" customWidth="1"/>
    <col min="1541" max="1541" width="27.44140625" style="119" customWidth="1"/>
    <col min="1542" max="1792" width="9.109375" style="119"/>
    <col min="1793" max="1793" width="5.44140625" style="119" customWidth="1"/>
    <col min="1794" max="1794" width="56.109375" style="119" customWidth="1"/>
    <col min="1795" max="1795" width="9.109375" style="119"/>
    <col min="1796" max="1796" width="6.6640625" style="119" customWidth="1"/>
    <col min="1797" max="1797" width="27.44140625" style="119" customWidth="1"/>
    <col min="1798" max="2048" width="9.109375" style="119"/>
    <col min="2049" max="2049" width="5.44140625" style="119" customWidth="1"/>
    <col min="2050" max="2050" width="56.109375" style="119" customWidth="1"/>
    <col min="2051" max="2051" width="9.109375" style="119"/>
    <col min="2052" max="2052" width="6.6640625" style="119" customWidth="1"/>
    <col min="2053" max="2053" width="27.44140625" style="119" customWidth="1"/>
    <col min="2054" max="2304" width="9.109375" style="119"/>
    <col min="2305" max="2305" width="5.44140625" style="119" customWidth="1"/>
    <col min="2306" max="2306" width="56.109375" style="119" customWidth="1"/>
    <col min="2307" max="2307" width="9.109375" style="119"/>
    <col min="2308" max="2308" width="6.6640625" style="119" customWidth="1"/>
    <col min="2309" max="2309" width="27.44140625" style="119" customWidth="1"/>
    <col min="2310" max="2560" width="9.109375" style="119"/>
    <col min="2561" max="2561" width="5.44140625" style="119" customWidth="1"/>
    <col min="2562" max="2562" width="56.109375" style="119" customWidth="1"/>
    <col min="2563" max="2563" width="9.109375" style="119"/>
    <col min="2564" max="2564" width="6.6640625" style="119" customWidth="1"/>
    <col min="2565" max="2565" width="27.44140625" style="119" customWidth="1"/>
    <col min="2566" max="2816" width="9.109375" style="119"/>
    <col min="2817" max="2817" width="5.44140625" style="119" customWidth="1"/>
    <col min="2818" max="2818" width="56.109375" style="119" customWidth="1"/>
    <col min="2819" max="2819" width="9.109375" style="119"/>
    <col min="2820" max="2820" width="6.6640625" style="119" customWidth="1"/>
    <col min="2821" max="2821" width="27.44140625" style="119" customWidth="1"/>
    <col min="2822" max="3072" width="9.109375" style="119"/>
    <col min="3073" max="3073" width="5.44140625" style="119" customWidth="1"/>
    <col min="3074" max="3074" width="56.109375" style="119" customWidth="1"/>
    <col min="3075" max="3075" width="9.109375" style="119"/>
    <col min="3076" max="3076" width="6.6640625" style="119" customWidth="1"/>
    <col min="3077" max="3077" width="27.44140625" style="119" customWidth="1"/>
    <col min="3078" max="3328" width="9.109375" style="119"/>
    <col min="3329" max="3329" width="5.44140625" style="119" customWidth="1"/>
    <col min="3330" max="3330" width="56.109375" style="119" customWidth="1"/>
    <col min="3331" max="3331" width="9.109375" style="119"/>
    <col min="3332" max="3332" width="6.6640625" style="119" customWidth="1"/>
    <col min="3333" max="3333" width="27.44140625" style="119" customWidth="1"/>
    <col min="3334" max="3584" width="9.109375" style="119"/>
    <col min="3585" max="3585" width="5.44140625" style="119" customWidth="1"/>
    <col min="3586" max="3586" width="56.109375" style="119" customWidth="1"/>
    <col min="3587" max="3587" width="9.109375" style="119"/>
    <col min="3588" max="3588" width="6.6640625" style="119" customWidth="1"/>
    <col min="3589" max="3589" width="27.44140625" style="119" customWidth="1"/>
    <col min="3590" max="3840" width="9.109375" style="119"/>
    <col min="3841" max="3841" width="5.44140625" style="119" customWidth="1"/>
    <col min="3842" max="3842" width="56.109375" style="119" customWidth="1"/>
    <col min="3843" max="3843" width="9.109375" style="119"/>
    <col min="3844" max="3844" width="6.6640625" style="119" customWidth="1"/>
    <col min="3845" max="3845" width="27.44140625" style="119" customWidth="1"/>
    <col min="3846" max="4096" width="9.109375" style="119"/>
    <col min="4097" max="4097" width="5.44140625" style="119" customWidth="1"/>
    <col min="4098" max="4098" width="56.109375" style="119" customWidth="1"/>
    <col min="4099" max="4099" width="9.109375" style="119"/>
    <col min="4100" max="4100" width="6.6640625" style="119" customWidth="1"/>
    <col min="4101" max="4101" width="27.44140625" style="119" customWidth="1"/>
    <col min="4102" max="4352" width="9.109375" style="119"/>
    <col min="4353" max="4353" width="5.44140625" style="119" customWidth="1"/>
    <col min="4354" max="4354" width="56.109375" style="119" customWidth="1"/>
    <col min="4355" max="4355" width="9.109375" style="119"/>
    <col min="4356" max="4356" width="6.6640625" style="119" customWidth="1"/>
    <col min="4357" max="4357" width="27.44140625" style="119" customWidth="1"/>
    <col min="4358" max="4608" width="9.109375" style="119"/>
    <col min="4609" max="4609" width="5.44140625" style="119" customWidth="1"/>
    <col min="4610" max="4610" width="56.109375" style="119" customWidth="1"/>
    <col min="4611" max="4611" width="9.109375" style="119"/>
    <col min="4612" max="4612" width="6.6640625" style="119" customWidth="1"/>
    <col min="4613" max="4613" width="27.44140625" style="119" customWidth="1"/>
    <col min="4614" max="4864" width="9.109375" style="119"/>
    <col min="4865" max="4865" width="5.44140625" style="119" customWidth="1"/>
    <col min="4866" max="4866" width="56.109375" style="119" customWidth="1"/>
    <col min="4867" max="4867" width="9.109375" style="119"/>
    <col min="4868" max="4868" width="6.6640625" style="119" customWidth="1"/>
    <col min="4869" max="4869" width="27.44140625" style="119" customWidth="1"/>
    <col min="4870" max="5120" width="9.109375" style="119"/>
    <col min="5121" max="5121" width="5.44140625" style="119" customWidth="1"/>
    <col min="5122" max="5122" width="56.109375" style="119" customWidth="1"/>
    <col min="5123" max="5123" width="9.109375" style="119"/>
    <col min="5124" max="5124" width="6.6640625" style="119" customWidth="1"/>
    <col min="5125" max="5125" width="27.44140625" style="119" customWidth="1"/>
    <col min="5126" max="5376" width="9.109375" style="119"/>
    <col min="5377" max="5377" width="5.44140625" style="119" customWidth="1"/>
    <col min="5378" max="5378" width="56.109375" style="119" customWidth="1"/>
    <col min="5379" max="5379" width="9.109375" style="119"/>
    <col min="5380" max="5380" width="6.6640625" style="119" customWidth="1"/>
    <col min="5381" max="5381" width="27.44140625" style="119" customWidth="1"/>
    <col min="5382" max="5632" width="9.109375" style="119"/>
    <col min="5633" max="5633" width="5.44140625" style="119" customWidth="1"/>
    <col min="5634" max="5634" width="56.109375" style="119" customWidth="1"/>
    <col min="5635" max="5635" width="9.109375" style="119"/>
    <col min="5636" max="5636" width="6.6640625" style="119" customWidth="1"/>
    <col min="5637" max="5637" width="27.44140625" style="119" customWidth="1"/>
    <col min="5638" max="5888" width="9.109375" style="119"/>
    <col min="5889" max="5889" width="5.44140625" style="119" customWidth="1"/>
    <col min="5890" max="5890" width="56.109375" style="119" customWidth="1"/>
    <col min="5891" max="5891" width="9.109375" style="119"/>
    <col min="5892" max="5892" width="6.6640625" style="119" customWidth="1"/>
    <col min="5893" max="5893" width="27.44140625" style="119" customWidth="1"/>
    <col min="5894" max="6144" width="9.109375" style="119"/>
    <col min="6145" max="6145" width="5.44140625" style="119" customWidth="1"/>
    <col min="6146" max="6146" width="56.109375" style="119" customWidth="1"/>
    <col min="6147" max="6147" width="9.109375" style="119"/>
    <col min="6148" max="6148" width="6.6640625" style="119" customWidth="1"/>
    <col min="6149" max="6149" width="27.44140625" style="119" customWidth="1"/>
    <col min="6150" max="6400" width="9.109375" style="119"/>
    <col min="6401" max="6401" width="5.44140625" style="119" customWidth="1"/>
    <col min="6402" max="6402" width="56.109375" style="119" customWidth="1"/>
    <col min="6403" max="6403" width="9.109375" style="119"/>
    <col min="6404" max="6404" width="6.6640625" style="119" customWidth="1"/>
    <col min="6405" max="6405" width="27.44140625" style="119" customWidth="1"/>
    <col min="6406" max="6656" width="9.109375" style="119"/>
    <col min="6657" max="6657" width="5.44140625" style="119" customWidth="1"/>
    <col min="6658" max="6658" width="56.109375" style="119" customWidth="1"/>
    <col min="6659" max="6659" width="9.109375" style="119"/>
    <col min="6660" max="6660" width="6.6640625" style="119" customWidth="1"/>
    <col min="6661" max="6661" width="27.44140625" style="119" customWidth="1"/>
    <col min="6662" max="6912" width="9.109375" style="119"/>
    <col min="6913" max="6913" width="5.44140625" style="119" customWidth="1"/>
    <col min="6914" max="6914" width="56.109375" style="119" customWidth="1"/>
    <col min="6915" max="6915" width="9.109375" style="119"/>
    <col min="6916" max="6916" width="6.6640625" style="119" customWidth="1"/>
    <col min="6917" max="6917" width="27.44140625" style="119" customWidth="1"/>
    <col min="6918" max="7168" width="9.109375" style="119"/>
    <col min="7169" max="7169" width="5.44140625" style="119" customWidth="1"/>
    <col min="7170" max="7170" width="56.109375" style="119" customWidth="1"/>
    <col min="7171" max="7171" width="9.109375" style="119"/>
    <col min="7172" max="7172" width="6.6640625" style="119" customWidth="1"/>
    <col min="7173" max="7173" width="27.44140625" style="119" customWidth="1"/>
    <col min="7174" max="7424" width="9.109375" style="119"/>
    <col min="7425" max="7425" width="5.44140625" style="119" customWidth="1"/>
    <col min="7426" max="7426" width="56.109375" style="119" customWidth="1"/>
    <col min="7427" max="7427" width="9.109375" style="119"/>
    <col min="7428" max="7428" width="6.6640625" style="119" customWidth="1"/>
    <col min="7429" max="7429" width="27.44140625" style="119" customWidth="1"/>
    <col min="7430" max="7680" width="9.109375" style="119"/>
    <col min="7681" max="7681" width="5.44140625" style="119" customWidth="1"/>
    <col min="7682" max="7682" width="56.109375" style="119" customWidth="1"/>
    <col min="7683" max="7683" width="9.109375" style="119"/>
    <col min="7684" max="7684" width="6.6640625" style="119" customWidth="1"/>
    <col min="7685" max="7685" width="27.44140625" style="119" customWidth="1"/>
    <col min="7686" max="7936" width="9.109375" style="119"/>
    <col min="7937" max="7937" width="5.44140625" style="119" customWidth="1"/>
    <col min="7938" max="7938" width="56.109375" style="119" customWidth="1"/>
    <col min="7939" max="7939" width="9.109375" style="119"/>
    <col min="7940" max="7940" width="6.6640625" style="119" customWidth="1"/>
    <col min="7941" max="7941" width="27.44140625" style="119" customWidth="1"/>
    <col min="7942" max="8192" width="9.109375" style="119"/>
    <col min="8193" max="8193" width="5.44140625" style="119" customWidth="1"/>
    <col min="8194" max="8194" width="56.109375" style="119" customWidth="1"/>
    <col min="8195" max="8195" width="9.109375" style="119"/>
    <col min="8196" max="8196" width="6.6640625" style="119" customWidth="1"/>
    <col min="8197" max="8197" width="27.44140625" style="119" customWidth="1"/>
    <col min="8198" max="8448" width="9.109375" style="119"/>
    <col min="8449" max="8449" width="5.44140625" style="119" customWidth="1"/>
    <col min="8450" max="8450" width="56.109375" style="119" customWidth="1"/>
    <col min="8451" max="8451" width="9.109375" style="119"/>
    <col min="8452" max="8452" width="6.6640625" style="119" customWidth="1"/>
    <col min="8453" max="8453" width="27.44140625" style="119" customWidth="1"/>
    <col min="8454" max="8704" width="9.109375" style="119"/>
    <col min="8705" max="8705" width="5.44140625" style="119" customWidth="1"/>
    <col min="8706" max="8706" width="56.109375" style="119" customWidth="1"/>
    <col min="8707" max="8707" width="9.109375" style="119"/>
    <col min="8708" max="8708" width="6.6640625" style="119" customWidth="1"/>
    <col min="8709" max="8709" width="27.44140625" style="119" customWidth="1"/>
    <col min="8710" max="8960" width="9.109375" style="119"/>
    <col min="8961" max="8961" width="5.44140625" style="119" customWidth="1"/>
    <col min="8962" max="8962" width="56.109375" style="119" customWidth="1"/>
    <col min="8963" max="8963" width="9.109375" style="119"/>
    <col min="8964" max="8964" width="6.6640625" style="119" customWidth="1"/>
    <col min="8965" max="8965" width="27.44140625" style="119" customWidth="1"/>
    <col min="8966" max="9216" width="9.109375" style="119"/>
    <col min="9217" max="9217" width="5.44140625" style="119" customWidth="1"/>
    <col min="9218" max="9218" width="56.109375" style="119" customWidth="1"/>
    <col min="9219" max="9219" width="9.109375" style="119"/>
    <col min="9220" max="9220" width="6.6640625" style="119" customWidth="1"/>
    <col min="9221" max="9221" width="27.44140625" style="119" customWidth="1"/>
    <col min="9222" max="9472" width="9.109375" style="119"/>
    <col min="9473" max="9473" width="5.44140625" style="119" customWidth="1"/>
    <col min="9474" max="9474" width="56.109375" style="119" customWidth="1"/>
    <col min="9475" max="9475" width="9.109375" style="119"/>
    <col min="9476" max="9476" width="6.6640625" style="119" customWidth="1"/>
    <col min="9477" max="9477" width="27.44140625" style="119" customWidth="1"/>
    <col min="9478" max="9728" width="9.109375" style="119"/>
    <col min="9729" max="9729" width="5.44140625" style="119" customWidth="1"/>
    <col min="9730" max="9730" width="56.109375" style="119" customWidth="1"/>
    <col min="9731" max="9731" width="9.109375" style="119"/>
    <col min="9732" max="9732" width="6.6640625" style="119" customWidth="1"/>
    <col min="9733" max="9733" width="27.44140625" style="119" customWidth="1"/>
    <col min="9734" max="9984" width="9.109375" style="119"/>
    <col min="9985" max="9985" width="5.44140625" style="119" customWidth="1"/>
    <col min="9986" max="9986" width="56.109375" style="119" customWidth="1"/>
    <col min="9987" max="9987" width="9.109375" style="119"/>
    <col min="9988" max="9988" width="6.6640625" style="119" customWidth="1"/>
    <col min="9989" max="9989" width="27.44140625" style="119" customWidth="1"/>
    <col min="9990" max="10240" width="9.109375" style="119"/>
    <col min="10241" max="10241" width="5.44140625" style="119" customWidth="1"/>
    <col min="10242" max="10242" width="56.109375" style="119" customWidth="1"/>
    <col min="10243" max="10243" width="9.109375" style="119"/>
    <col min="10244" max="10244" width="6.6640625" style="119" customWidth="1"/>
    <col min="10245" max="10245" width="27.44140625" style="119" customWidth="1"/>
    <col min="10246" max="10496" width="9.109375" style="119"/>
    <col min="10497" max="10497" width="5.44140625" style="119" customWidth="1"/>
    <col min="10498" max="10498" width="56.109375" style="119" customWidth="1"/>
    <col min="10499" max="10499" width="9.109375" style="119"/>
    <col min="10500" max="10500" width="6.6640625" style="119" customWidth="1"/>
    <col min="10501" max="10501" width="27.44140625" style="119" customWidth="1"/>
    <col min="10502" max="10752" width="9.109375" style="119"/>
    <col min="10753" max="10753" width="5.44140625" style="119" customWidth="1"/>
    <col min="10754" max="10754" width="56.109375" style="119" customWidth="1"/>
    <col min="10755" max="10755" width="9.109375" style="119"/>
    <col min="10756" max="10756" width="6.6640625" style="119" customWidth="1"/>
    <col min="10757" max="10757" width="27.44140625" style="119" customWidth="1"/>
    <col min="10758" max="11008" width="9.109375" style="119"/>
    <col min="11009" max="11009" width="5.44140625" style="119" customWidth="1"/>
    <col min="11010" max="11010" width="56.109375" style="119" customWidth="1"/>
    <col min="11011" max="11011" width="9.109375" style="119"/>
    <col min="11012" max="11012" width="6.6640625" style="119" customWidth="1"/>
    <col min="11013" max="11013" width="27.44140625" style="119" customWidth="1"/>
    <col min="11014" max="11264" width="9.109375" style="119"/>
    <col min="11265" max="11265" width="5.44140625" style="119" customWidth="1"/>
    <col min="11266" max="11266" width="56.109375" style="119" customWidth="1"/>
    <col min="11267" max="11267" width="9.109375" style="119"/>
    <col min="11268" max="11268" width="6.6640625" style="119" customWidth="1"/>
    <col min="11269" max="11269" width="27.44140625" style="119" customWidth="1"/>
    <col min="11270" max="11520" width="9.109375" style="119"/>
    <col min="11521" max="11521" width="5.44140625" style="119" customWidth="1"/>
    <col min="11522" max="11522" width="56.109375" style="119" customWidth="1"/>
    <col min="11523" max="11523" width="9.109375" style="119"/>
    <col min="11524" max="11524" width="6.6640625" style="119" customWidth="1"/>
    <col min="11525" max="11525" width="27.44140625" style="119" customWidth="1"/>
    <col min="11526" max="11776" width="9.109375" style="119"/>
    <col min="11777" max="11777" width="5.44140625" style="119" customWidth="1"/>
    <col min="11778" max="11778" width="56.109375" style="119" customWidth="1"/>
    <col min="11779" max="11779" width="9.109375" style="119"/>
    <col min="11780" max="11780" width="6.6640625" style="119" customWidth="1"/>
    <col min="11781" max="11781" width="27.44140625" style="119" customWidth="1"/>
    <col min="11782" max="12032" width="9.109375" style="119"/>
    <col min="12033" max="12033" width="5.44140625" style="119" customWidth="1"/>
    <col min="12034" max="12034" width="56.109375" style="119" customWidth="1"/>
    <col min="12035" max="12035" width="9.109375" style="119"/>
    <col min="12036" max="12036" width="6.6640625" style="119" customWidth="1"/>
    <col min="12037" max="12037" width="27.44140625" style="119" customWidth="1"/>
    <col min="12038" max="12288" width="9.109375" style="119"/>
    <col min="12289" max="12289" width="5.44140625" style="119" customWidth="1"/>
    <col min="12290" max="12290" width="56.109375" style="119" customWidth="1"/>
    <col min="12291" max="12291" width="9.109375" style="119"/>
    <col min="12292" max="12292" width="6.6640625" style="119" customWidth="1"/>
    <col min="12293" max="12293" width="27.44140625" style="119" customWidth="1"/>
    <col min="12294" max="12544" width="9.109375" style="119"/>
    <col min="12545" max="12545" width="5.44140625" style="119" customWidth="1"/>
    <col min="12546" max="12546" width="56.109375" style="119" customWidth="1"/>
    <col min="12547" max="12547" width="9.109375" style="119"/>
    <col min="12548" max="12548" width="6.6640625" style="119" customWidth="1"/>
    <col min="12549" max="12549" width="27.44140625" style="119" customWidth="1"/>
    <col min="12550" max="12800" width="9.109375" style="119"/>
    <col min="12801" max="12801" width="5.44140625" style="119" customWidth="1"/>
    <col min="12802" max="12802" width="56.109375" style="119" customWidth="1"/>
    <col min="12803" max="12803" width="9.109375" style="119"/>
    <col min="12804" max="12804" width="6.6640625" style="119" customWidth="1"/>
    <col min="12805" max="12805" width="27.44140625" style="119" customWidth="1"/>
    <col min="12806" max="13056" width="9.109375" style="119"/>
    <col min="13057" max="13057" width="5.44140625" style="119" customWidth="1"/>
    <col min="13058" max="13058" width="56.109375" style="119" customWidth="1"/>
    <col min="13059" max="13059" width="9.109375" style="119"/>
    <col min="13060" max="13060" width="6.6640625" style="119" customWidth="1"/>
    <col min="13061" max="13061" width="27.44140625" style="119" customWidth="1"/>
    <col min="13062" max="13312" width="9.109375" style="119"/>
    <col min="13313" max="13313" width="5.44140625" style="119" customWidth="1"/>
    <col min="13314" max="13314" width="56.109375" style="119" customWidth="1"/>
    <col min="13315" max="13315" width="9.109375" style="119"/>
    <col min="13316" max="13316" width="6.6640625" style="119" customWidth="1"/>
    <col min="13317" max="13317" width="27.44140625" style="119" customWidth="1"/>
    <col min="13318" max="13568" width="9.109375" style="119"/>
    <col min="13569" max="13569" width="5.44140625" style="119" customWidth="1"/>
    <col min="13570" max="13570" width="56.109375" style="119" customWidth="1"/>
    <col min="13571" max="13571" width="9.109375" style="119"/>
    <col min="13572" max="13572" width="6.6640625" style="119" customWidth="1"/>
    <col min="13573" max="13573" width="27.44140625" style="119" customWidth="1"/>
    <col min="13574" max="13824" width="9.109375" style="119"/>
    <col min="13825" max="13825" width="5.44140625" style="119" customWidth="1"/>
    <col min="13826" max="13826" width="56.109375" style="119" customWidth="1"/>
    <col min="13827" max="13827" width="9.109375" style="119"/>
    <col min="13828" max="13828" width="6.6640625" style="119" customWidth="1"/>
    <col min="13829" max="13829" width="27.44140625" style="119" customWidth="1"/>
    <col min="13830" max="14080" width="9.109375" style="119"/>
    <col min="14081" max="14081" width="5.44140625" style="119" customWidth="1"/>
    <col min="14082" max="14082" width="56.109375" style="119" customWidth="1"/>
    <col min="14083" max="14083" width="9.109375" style="119"/>
    <col min="14084" max="14084" width="6.6640625" style="119" customWidth="1"/>
    <col min="14085" max="14085" width="27.44140625" style="119" customWidth="1"/>
    <col min="14086" max="14336" width="9.109375" style="119"/>
    <col min="14337" max="14337" width="5.44140625" style="119" customWidth="1"/>
    <col min="14338" max="14338" width="56.109375" style="119" customWidth="1"/>
    <col min="14339" max="14339" width="9.109375" style="119"/>
    <col min="14340" max="14340" width="6.6640625" style="119" customWidth="1"/>
    <col min="14341" max="14341" width="27.44140625" style="119" customWidth="1"/>
    <col min="14342" max="14592" width="9.109375" style="119"/>
    <col min="14593" max="14593" width="5.44140625" style="119" customWidth="1"/>
    <col min="14594" max="14594" width="56.109375" style="119" customWidth="1"/>
    <col min="14595" max="14595" width="9.109375" style="119"/>
    <col min="14596" max="14596" width="6.6640625" style="119" customWidth="1"/>
    <col min="14597" max="14597" width="27.44140625" style="119" customWidth="1"/>
    <col min="14598" max="14848" width="9.109375" style="119"/>
    <col min="14849" max="14849" width="5.44140625" style="119" customWidth="1"/>
    <col min="14850" max="14850" width="56.109375" style="119" customWidth="1"/>
    <col min="14851" max="14851" width="9.109375" style="119"/>
    <col min="14852" max="14852" width="6.6640625" style="119" customWidth="1"/>
    <col min="14853" max="14853" width="27.44140625" style="119" customWidth="1"/>
    <col min="14854" max="15104" width="9.109375" style="119"/>
    <col min="15105" max="15105" width="5.44140625" style="119" customWidth="1"/>
    <col min="15106" max="15106" width="56.109375" style="119" customWidth="1"/>
    <col min="15107" max="15107" width="9.109375" style="119"/>
    <col min="15108" max="15108" width="6.6640625" style="119" customWidth="1"/>
    <col min="15109" max="15109" width="27.44140625" style="119" customWidth="1"/>
    <col min="15110" max="15360" width="9.109375" style="119"/>
    <col min="15361" max="15361" width="5.44140625" style="119" customWidth="1"/>
    <col min="15362" max="15362" width="56.109375" style="119" customWidth="1"/>
    <col min="15363" max="15363" width="9.109375" style="119"/>
    <col min="15364" max="15364" width="6.6640625" style="119" customWidth="1"/>
    <col min="15365" max="15365" width="27.44140625" style="119" customWidth="1"/>
    <col min="15366" max="15616" width="9.109375" style="119"/>
    <col min="15617" max="15617" width="5.44140625" style="119" customWidth="1"/>
    <col min="15618" max="15618" width="56.109375" style="119" customWidth="1"/>
    <col min="15619" max="15619" width="9.109375" style="119"/>
    <col min="15620" max="15620" width="6.6640625" style="119" customWidth="1"/>
    <col min="15621" max="15621" width="27.44140625" style="119" customWidth="1"/>
    <col min="15622" max="15872" width="9.109375" style="119"/>
    <col min="15873" max="15873" width="5.44140625" style="119" customWidth="1"/>
    <col min="15874" max="15874" width="56.109375" style="119" customWidth="1"/>
    <col min="15875" max="15875" width="9.109375" style="119"/>
    <col min="15876" max="15876" width="6.6640625" style="119" customWidth="1"/>
    <col min="15877" max="15877" width="27.44140625" style="119" customWidth="1"/>
    <col min="15878" max="16128" width="9.109375" style="119"/>
    <col min="16129" max="16129" width="5.44140625" style="119" customWidth="1"/>
    <col min="16130" max="16130" width="56.109375" style="119" customWidth="1"/>
    <col min="16131" max="16131" width="9.109375" style="119"/>
    <col min="16132" max="16132" width="6.6640625" style="119" customWidth="1"/>
    <col min="16133" max="16133" width="27.44140625" style="119" customWidth="1"/>
    <col min="16134" max="16384" width="9.109375" style="119"/>
  </cols>
  <sheetData>
    <row r="2" spans="1:5" ht="20.399999999999999">
      <c r="B2" s="117" t="s">
        <v>647</v>
      </c>
    </row>
    <row r="4" spans="1:5" ht="13.8">
      <c r="A4" s="120">
        <v>1</v>
      </c>
      <c r="B4" s="52" t="s">
        <v>648</v>
      </c>
      <c r="C4" s="9"/>
      <c r="D4" s="9"/>
      <c r="E4" s="9"/>
    </row>
    <row r="5" spans="1:5" ht="13.8">
      <c r="A5" s="121"/>
      <c r="B5" s="9" t="s">
        <v>649</v>
      </c>
      <c r="C5" s="9"/>
      <c r="D5" s="9"/>
      <c r="E5" s="9"/>
    </row>
    <row r="6" spans="1:5" ht="13.8">
      <c r="A6" s="121"/>
      <c r="B6" s="9" t="s">
        <v>650</v>
      </c>
      <c r="C6" s="4">
        <f>0.075*286.85</f>
        <v>21.513750000000002</v>
      </c>
      <c r="D6" s="1" t="s">
        <v>651</v>
      </c>
      <c r="E6" s="104" t="s">
        <v>652</v>
      </c>
    </row>
    <row r="7" spans="1:5" ht="13.8">
      <c r="A7" s="121"/>
      <c r="B7" s="9"/>
      <c r="C7" s="4"/>
      <c r="D7" s="1"/>
      <c r="E7" s="8"/>
    </row>
    <row r="8" spans="1:5" ht="13.8">
      <c r="A8" s="121"/>
      <c r="B8" s="9" t="s">
        <v>653</v>
      </c>
      <c r="C8" s="9"/>
      <c r="D8" s="9"/>
      <c r="E8" s="8"/>
    </row>
    <row r="9" spans="1:5" ht="13.8">
      <c r="A9" s="121"/>
      <c r="B9" s="9" t="s">
        <v>654</v>
      </c>
      <c r="C9" s="4">
        <f>0.075*6326.05</f>
        <v>474.45375000000001</v>
      </c>
      <c r="D9" s="1" t="s">
        <v>651</v>
      </c>
      <c r="E9" s="104" t="s">
        <v>652</v>
      </c>
    </row>
    <row r="10" spans="1:5" ht="13.8">
      <c r="A10" s="121"/>
      <c r="B10" s="9"/>
      <c r="C10" s="4"/>
      <c r="D10" s="1"/>
      <c r="E10" s="8"/>
    </row>
    <row r="11" spans="1:5" ht="13.8">
      <c r="A11" s="121"/>
      <c r="B11" s="9" t="s">
        <v>655</v>
      </c>
      <c r="C11" s="9"/>
      <c r="D11" s="9"/>
      <c r="E11" s="8"/>
    </row>
    <row r="12" spans="1:5" ht="13.8">
      <c r="A12" s="121"/>
      <c r="B12" s="9" t="s">
        <v>656</v>
      </c>
      <c r="C12" s="4">
        <f>0.115*1018.05</f>
        <v>117.07575</v>
      </c>
      <c r="D12" s="1" t="s">
        <v>651</v>
      </c>
      <c r="E12" s="104" t="s">
        <v>652</v>
      </c>
    </row>
    <row r="13" spans="1:5" ht="13.8">
      <c r="A13" s="121"/>
      <c r="B13" s="9"/>
      <c r="C13" s="4"/>
      <c r="D13" s="1"/>
      <c r="E13" s="8"/>
    </row>
    <row r="14" spans="1:5" ht="13.8">
      <c r="A14" s="121"/>
      <c r="B14" s="9" t="s">
        <v>657</v>
      </c>
      <c r="C14" s="9"/>
      <c r="D14" s="9"/>
      <c r="E14" s="8"/>
    </row>
    <row r="15" spans="1:5" ht="13.8">
      <c r="A15" s="121"/>
      <c r="B15" s="9" t="s">
        <v>658</v>
      </c>
      <c r="C15" s="4">
        <v>545</v>
      </c>
      <c r="D15" s="1" t="s">
        <v>651</v>
      </c>
      <c r="E15" s="104" t="s">
        <v>652</v>
      </c>
    </row>
    <row r="16" spans="1:5" ht="13.8">
      <c r="A16" s="121"/>
      <c r="B16" s="9"/>
      <c r="C16" s="4"/>
      <c r="D16" s="1"/>
      <c r="E16" s="9"/>
    </row>
    <row r="17" spans="1:5" ht="13.8">
      <c r="A17" s="121"/>
      <c r="B17" s="9"/>
      <c r="C17" s="4"/>
      <c r="D17" s="1"/>
      <c r="E17" s="9"/>
    </row>
    <row r="18" spans="1:5" ht="13.8">
      <c r="A18" s="121"/>
      <c r="B18" s="99" t="s">
        <v>11</v>
      </c>
      <c r="C18" s="122">
        <f>SUM(C5:C17)</f>
        <v>1158.0432500000002</v>
      </c>
      <c r="D18" s="50" t="s">
        <v>651</v>
      </c>
      <c r="E18" s="9"/>
    </row>
    <row r="19" spans="1:5" ht="13.8">
      <c r="A19" s="121"/>
      <c r="B19" s="75" t="s">
        <v>13</v>
      </c>
      <c r="C19" s="123">
        <f>ROUNDUP(C18,0)</f>
        <v>1159</v>
      </c>
      <c r="D19" s="28" t="s">
        <v>651</v>
      </c>
      <c r="E19" s="9"/>
    </row>
    <row r="20" spans="1:5">
      <c r="A20" s="121"/>
    </row>
    <row r="21" spans="1:5" ht="13.8">
      <c r="A21" s="120">
        <v>2</v>
      </c>
      <c r="B21" s="52" t="s">
        <v>659</v>
      </c>
      <c r="C21" s="9"/>
      <c r="D21" s="9"/>
      <c r="E21" s="9"/>
    </row>
    <row r="22" spans="1:5" ht="13.8">
      <c r="A22" s="121"/>
      <c r="B22" s="9" t="s">
        <v>38</v>
      </c>
      <c r="C22" s="9"/>
      <c r="D22" s="9"/>
      <c r="E22" s="8"/>
    </row>
    <row r="23" spans="1:5" ht="13.8">
      <c r="A23" s="121"/>
      <c r="B23" s="9" t="s">
        <v>660</v>
      </c>
      <c r="C23" s="4">
        <f>0.075*0.075*7365.15</f>
        <v>41.428968749999996</v>
      </c>
      <c r="D23" s="1" t="s">
        <v>661</v>
      </c>
      <c r="E23" s="104" t="s">
        <v>652</v>
      </c>
    </row>
    <row r="24" spans="1:5" ht="13.8">
      <c r="A24" s="121"/>
      <c r="B24" s="9"/>
      <c r="C24" s="4"/>
      <c r="D24" s="1"/>
      <c r="E24" s="8"/>
    </row>
    <row r="25" spans="1:5" ht="13.8">
      <c r="A25" s="121"/>
      <c r="B25" s="9" t="s">
        <v>662</v>
      </c>
      <c r="C25" s="9"/>
      <c r="D25" s="9"/>
      <c r="E25" s="8"/>
    </row>
    <row r="26" spans="1:5" ht="13.8">
      <c r="A26" s="121"/>
      <c r="B26" s="9" t="s">
        <v>663</v>
      </c>
      <c r="C26" s="4">
        <f>0.115*374.15</f>
        <v>43.027250000000002</v>
      </c>
      <c r="D26" s="1" t="s">
        <v>661</v>
      </c>
      <c r="E26" s="104" t="s">
        <v>652</v>
      </c>
    </row>
    <row r="27" spans="1:5" ht="13.8">
      <c r="A27" s="121"/>
      <c r="B27" s="9"/>
      <c r="C27" s="4"/>
      <c r="D27" s="1"/>
      <c r="E27" s="8"/>
    </row>
    <row r="28" spans="1:5" ht="13.8">
      <c r="A28" s="121"/>
      <c r="B28" s="9"/>
      <c r="C28" s="4"/>
      <c r="D28" s="1"/>
      <c r="E28" s="9"/>
    </row>
    <row r="29" spans="1:5" ht="13.8">
      <c r="A29" s="121"/>
      <c r="B29" s="99" t="s">
        <v>11</v>
      </c>
      <c r="C29" s="122">
        <f>SUM(C22:C28)</f>
        <v>84.456218750000005</v>
      </c>
      <c r="D29" s="50" t="s">
        <v>661</v>
      </c>
      <c r="E29" s="9"/>
    </row>
    <row r="30" spans="1:5" ht="13.8">
      <c r="A30" s="121"/>
      <c r="B30" s="75" t="s">
        <v>13</v>
      </c>
      <c r="C30" s="123">
        <f>ROUNDUP(C29,0)</f>
        <v>85</v>
      </c>
      <c r="D30" s="28" t="s">
        <v>661</v>
      </c>
      <c r="E30" s="9"/>
    </row>
    <row r="31" spans="1:5">
      <c r="A31" s="121"/>
    </row>
    <row r="32" spans="1:5" ht="13.8">
      <c r="A32" s="120">
        <v>3</v>
      </c>
      <c r="B32" s="52" t="s">
        <v>664</v>
      </c>
      <c r="C32" s="9"/>
      <c r="D32" s="9"/>
      <c r="E32" s="9"/>
    </row>
    <row r="33" spans="1:7" ht="13.8">
      <c r="A33" s="120"/>
      <c r="B33" s="9" t="s">
        <v>665</v>
      </c>
      <c r="C33" s="9">
        <v>928.65</v>
      </c>
      <c r="D33" s="9"/>
      <c r="E33" s="104" t="s">
        <v>652</v>
      </c>
    </row>
    <row r="34" spans="1:7" ht="13.8">
      <c r="A34" s="120"/>
      <c r="B34" s="9" t="s">
        <v>666</v>
      </c>
      <c r="C34" s="9"/>
      <c r="D34" s="9"/>
      <c r="E34" s="104"/>
    </row>
    <row r="35" spans="1:7" ht="13.8">
      <c r="A35" s="121"/>
      <c r="B35" s="9" t="s">
        <v>653</v>
      </c>
      <c r="C35" s="9"/>
      <c r="D35" s="9"/>
      <c r="E35" s="8"/>
    </row>
    <row r="36" spans="1:7" ht="13.8">
      <c r="A36" s="121"/>
      <c r="B36" s="9" t="s">
        <v>667</v>
      </c>
      <c r="C36" s="4">
        <f>0.038*6326.05</f>
        <v>240.38990000000001</v>
      </c>
      <c r="D36" s="1" t="s">
        <v>651</v>
      </c>
      <c r="E36" s="104" t="s">
        <v>652</v>
      </c>
    </row>
    <row r="37" spans="1:7" ht="13.8">
      <c r="A37" s="121"/>
      <c r="B37" s="9"/>
      <c r="C37" s="4"/>
      <c r="D37" s="1"/>
      <c r="E37" s="9"/>
    </row>
    <row r="38" spans="1:7" ht="13.8">
      <c r="A38" s="121"/>
      <c r="B38" s="99" t="s">
        <v>11</v>
      </c>
      <c r="C38" s="122">
        <f>SUM(C33:C37)</f>
        <v>1169.0399</v>
      </c>
      <c r="D38" s="50" t="s">
        <v>651</v>
      </c>
      <c r="E38" s="9"/>
    </row>
    <row r="39" spans="1:7" ht="13.8">
      <c r="A39" s="121"/>
      <c r="B39" s="75" t="s">
        <v>13</v>
      </c>
      <c r="C39" s="123">
        <f>ROUNDUP(C38,0)</f>
        <v>1170</v>
      </c>
      <c r="D39" s="28" t="s">
        <v>651</v>
      </c>
      <c r="E39" s="9"/>
    </row>
    <row r="40" spans="1:7">
      <c r="A40" s="121"/>
    </row>
    <row r="41" spans="1:7">
      <c r="A41" s="121"/>
    </row>
    <row r="42" spans="1:7" ht="13.8">
      <c r="A42" s="9">
        <v>4</v>
      </c>
      <c r="B42" s="52" t="s">
        <v>727</v>
      </c>
      <c r="C42" s="9"/>
      <c r="D42" s="9"/>
      <c r="E42" s="9"/>
      <c r="F42" s="9"/>
      <c r="G42" s="9"/>
    </row>
    <row r="43" spans="1:7" ht="13.8">
      <c r="A43" s="9"/>
      <c r="B43" s="9"/>
      <c r="C43" s="9"/>
      <c r="D43" s="9"/>
      <c r="E43" s="9"/>
      <c r="F43" s="9"/>
      <c r="G43" s="9"/>
    </row>
    <row r="44" spans="1:7" s="170" customFormat="1" ht="27.6">
      <c r="A44" s="155" t="s">
        <v>728</v>
      </c>
      <c r="B44" s="155" t="s">
        <v>139</v>
      </c>
      <c r="C44" s="155" t="s">
        <v>22</v>
      </c>
      <c r="D44" s="155" t="s">
        <v>21</v>
      </c>
      <c r="E44" s="155" t="s">
        <v>729</v>
      </c>
      <c r="F44" s="155" t="s">
        <v>730</v>
      </c>
      <c r="G44" s="32"/>
    </row>
    <row r="45" spans="1:7" ht="13.8">
      <c r="A45" s="156"/>
      <c r="B45" s="157" t="s">
        <v>753</v>
      </c>
      <c r="C45" s="156"/>
      <c r="D45" s="156"/>
      <c r="E45" s="156"/>
      <c r="F45" s="156"/>
      <c r="G45" s="9"/>
    </row>
    <row r="46" spans="1:7" ht="13.8">
      <c r="A46" s="158"/>
      <c r="B46" s="159" t="s">
        <v>731</v>
      </c>
      <c r="C46" s="158"/>
      <c r="D46" s="158"/>
      <c r="E46" s="158"/>
      <c r="F46" s="158"/>
      <c r="G46" s="9"/>
    </row>
    <row r="47" spans="1:7" ht="13.8">
      <c r="A47" s="158"/>
      <c r="B47" s="159" t="s">
        <v>732</v>
      </c>
      <c r="C47" s="158"/>
      <c r="D47" s="158"/>
      <c r="E47" s="158"/>
      <c r="F47" s="158"/>
      <c r="G47" s="9"/>
    </row>
    <row r="48" spans="1:7" ht="13.8">
      <c r="A48" s="160">
        <v>3.11</v>
      </c>
      <c r="B48" s="159" t="s">
        <v>733</v>
      </c>
      <c r="C48" s="161" t="s">
        <v>734</v>
      </c>
      <c r="D48" s="162">
        <v>0.224</v>
      </c>
      <c r="E48" s="163">
        <v>3686.3</v>
      </c>
      <c r="F48" s="163">
        <f>D48*E48</f>
        <v>825.73120000000006</v>
      </c>
      <c r="G48" s="9"/>
    </row>
    <row r="49" spans="1:7" ht="13.8">
      <c r="A49" s="158"/>
      <c r="B49" s="159" t="s">
        <v>735</v>
      </c>
      <c r="C49" s="158"/>
      <c r="D49" s="158"/>
      <c r="E49" s="158"/>
      <c r="F49" s="158"/>
      <c r="G49" s="9"/>
    </row>
    <row r="50" spans="1:7" ht="13.8">
      <c r="A50" s="164">
        <v>155</v>
      </c>
      <c r="B50" s="159" t="s">
        <v>736</v>
      </c>
      <c r="C50" s="161" t="s">
        <v>737</v>
      </c>
      <c r="D50" s="163">
        <v>0.94</v>
      </c>
      <c r="E50" s="163">
        <v>749</v>
      </c>
      <c r="F50" s="163">
        <f>D50*E50</f>
        <v>704.06</v>
      </c>
      <c r="G50" s="9"/>
    </row>
    <row r="51" spans="1:7" ht="13.8">
      <c r="A51" s="164">
        <v>115</v>
      </c>
      <c r="B51" s="159" t="s">
        <v>738</v>
      </c>
      <c r="C51" s="161" t="s">
        <v>737</v>
      </c>
      <c r="D51" s="163">
        <v>1.02</v>
      </c>
      <c r="E51" s="163">
        <v>645</v>
      </c>
      <c r="F51" s="163">
        <f>D51*E51</f>
        <v>657.9</v>
      </c>
      <c r="G51" s="9"/>
    </row>
    <row r="52" spans="1:7" ht="13.8">
      <c r="A52" s="164">
        <v>101</v>
      </c>
      <c r="B52" s="159" t="s">
        <v>739</v>
      </c>
      <c r="C52" s="161" t="s">
        <v>737</v>
      </c>
      <c r="D52" s="163">
        <v>1.1000000000000001</v>
      </c>
      <c r="E52" s="163">
        <v>714</v>
      </c>
      <c r="F52" s="163">
        <f>D52*E52</f>
        <v>785.40000000000009</v>
      </c>
      <c r="G52" s="9"/>
    </row>
    <row r="53" spans="1:7" ht="13.8">
      <c r="A53" s="165">
        <v>9999</v>
      </c>
      <c r="B53" s="159" t="s">
        <v>740</v>
      </c>
      <c r="C53" s="161" t="s">
        <v>741</v>
      </c>
      <c r="D53" s="163">
        <v>12.61</v>
      </c>
      <c r="E53" s="163">
        <v>2.12</v>
      </c>
      <c r="F53" s="163">
        <f>D53*E53</f>
        <v>26.7332</v>
      </c>
      <c r="G53" s="9"/>
    </row>
    <row r="54" spans="1:7" ht="13.8">
      <c r="A54" s="158"/>
      <c r="B54" s="159" t="s">
        <v>742</v>
      </c>
      <c r="C54" s="158"/>
      <c r="D54" s="158"/>
      <c r="E54" s="158"/>
      <c r="F54" s="168">
        <f>SUM(F48:F53)</f>
        <v>2999.8244000000004</v>
      </c>
      <c r="G54" s="9" t="s">
        <v>748</v>
      </c>
    </row>
    <row r="55" spans="1:7" ht="13.8">
      <c r="A55" s="158"/>
      <c r="B55" s="159" t="s">
        <v>743</v>
      </c>
      <c r="C55" s="158"/>
      <c r="D55" s="158"/>
      <c r="E55" s="158"/>
      <c r="F55" s="163">
        <f>F54*1%</f>
        <v>29.998244000000003</v>
      </c>
      <c r="G55" s="9"/>
    </row>
    <row r="56" spans="1:7" ht="13.8">
      <c r="A56" s="158"/>
      <c r="B56" s="159" t="s">
        <v>742</v>
      </c>
      <c r="C56" s="158"/>
      <c r="D56" s="158"/>
      <c r="E56" s="158"/>
      <c r="F56" s="168">
        <f>SUM(F54:F55)</f>
        <v>3029.8226440000003</v>
      </c>
      <c r="G56" s="9" t="s">
        <v>749</v>
      </c>
    </row>
    <row r="57" spans="1:7" ht="13.8">
      <c r="A57" s="158"/>
      <c r="B57" s="159" t="s">
        <v>752</v>
      </c>
      <c r="C57" s="158"/>
      <c r="D57" s="158"/>
      <c r="E57" s="158"/>
      <c r="F57" s="163">
        <f>F56*0.2127</f>
        <v>644.44327637880008</v>
      </c>
      <c r="G57" s="9"/>
    </row>
    <row r="58" spans="1:7" ht="13.8">
      <c r="A58" s="158"/>
      <c r="B58" s="159" t="s">
        <v>742</v>
      </c>
      <c r="C58" s="158"/>
      <c r="D58" s="158"/>
      <c r="E58" s="158"/>
      <c r="F58" s="168">
        <f>SUM(F56:F57)</f>
        <v>3674.2659203788003</v>
      </c>
      <c r="G58" s="9" t="s">
        <v>750</v>
      </c>
    </row>
    <row r="59" spans="1:7" ht="13.8">
      <c r="A59" s="158"/>
      <c r="B59" s="159" t="s">
        <v>744</v>
      </c>
      <c r="C59" s="158"/>
      <c r="D59" s="158"/>
      <c r="E59" s="158"/>
      <c r="F59" s="163">
        <f>F58*15%</f>
        <v>551.13988805682004</v>
      </c>
      <c r="G59" s="9"/>
    </row>
    <row r="60" spans="1:7" ht="13.8">
      <c r="A60" s="158"/>
      <c r="B60" s="159" t="s">
        <v>742</v>
      </c>
      <c r="C60" s="158"/>
      <c r="D60" s="158"/>
      <c r="E60" s="158"/>
      <c r="F60" s="168">
        <f>SUM(F58:F59)</f>
        <v>4225.4058084356202</v>
      </c>
      <c r="G60" s="9" t="s">
        <v>751</v>
      </c>
    </row>
    <row r="61" spans="1:7" ht="13.8">
      <c r="A61" s="158"/>
      <c r="B61" s="159" t="s">
        <v>745</v>
      </c>
      <c r="C61" s="158"/>
      <c r="D61" s="158"/>
      <c r="E61" s="158"/>
      <c r="F61" s="163">
        <f>F60*1%</f>
        <v>42.254058084356203</v>
      </c>
      <c r="G61" s="9"/>
    </row>
    <row r="62" spans="1:7" ht="13.8">
      <c r="A62" s="158"/>
      <c r="B62" s="159" t="s">
        <v>746</v>
      </c>
      <c r="C62" s="158"/>
      <c r="D62" s="158"/>
      <c r="E62" s="158"/>
      <c r="F62" s="163">
        <f>SUM(F60:F61)</f>
        <v>4267.6598665199763</v>
      </c>
      <c r="G62" s="9"/>
    </row>
    <row r="63" spans="1:7" ht="13.8">
      <c r="A63" s="158"/>
      <c r="B63" s="159" t="s">
        <v>754</v>
      </c>
      <c r="C63" s="158"/>
      <c r="D63" s="158"/>
      <c r="E63" s="158"/>
      <c r="F63" s="163">
        <f>F62/10</f>
        <v>426.76598665199765</v>
      </c>
      <c r="G63" s="9"/>
    </row>
    <row r="64" spans="1:7" ht="13.8">
      <c r="A64" s="158"/>
      <c r="B64" s="159" t="s">
        <v>755</v>
      </c>
      <c r="C64" s="158"/>
      <c r="D64" s="158"/>
      <c r="E64" s="158"/>
      <c r="F64" s="163">
        <f>F63/6.65</f>
        <v>64.175336338646261</v>
      </c>
      <c r="G64" s="9"/>
    </row>
    <row r="65" spans="1:8" ht="13.8">
      <c r="A65" s="166"/>
      <c r="B65" s="167" t="s">
        <v>747</v>
      </c>
      <c r="C65" s="166"/>
      <c r="D65" s="166"/>
      <c r="E65" s="166"/>
      <c r="F65" s="169">
        <v>64</v>
      </c>
      <c r="G65" s="9"/>
    </row>
    <row r="66" spans="1:8">
      <c r="A66" s="121"/>
    </row>
    <row r="67" spans="1:8">
      <c r="A67" s="121"/>
    </row>
    <row r="68" spans="1:8" ht="13.8">
      <c r="A68" s="120">
        <v>5</v>
      </c>
      <c r="B68" s="45" t="s">
        <v>596</v>
      </c>
      <c r="C68" s="9"/>
      <c r="D68" s="9"/>
      <c r="E68" s="9"/>
    </row>
    <row r="69" spans="1:8" ht="27.6">
      <c r="A69" s="155" t="s">
        <v>728</v>
      </c>
      <c r="B69" s="155" t="s">
        <v>139</v>
      </c>
      <c r="C69" s="155" t="s">
        <v>22</v>
      </c>
      <c r="D69" s="155" t="s">
        <v>21</v>
      </c>
      <c r="E69" s="155" t="s">
        <v>729</v>
      </c>
      <c r="F69" s="155" t="s">
        <v>730</v>
      </c>
    </row>
    <row r="70" spans="1:8" ht="13.8">
      <c r="A70" s="194"/>
      <c r="B70" s="195" t="s">
        <v>756</v>
      </c>
      <c r="C70" s="196" t="s">
        <v>17</v>
      </c>
      <c r="D70" s="197"/>
      <c r="E70" s="197"/>
      <c r="F70" s="198">
        <v>22</v>
      </c>
      <c r="G70" s="1" t="s">
        <v>651</v>
      </c>
      <c r="H70" s="104"/>
    </row>
    <row r="71" spans="1:8" ht="13.8">
      <c r="A71" s="199"/>
      <c r="B71" s="200" t="s">
        <v>757</v>
      </c>
      <c r="C71" s="201"/>
      <c r="D71" s="202"/>
      <c r="E71" s="202"/>
      <c r="F71" s="203"/>
      <c r="G71" s="1"/>
      <c r="H71" s="104"/>
    </row>
    <row r="72" spans="1:8" ht="13.8">
      <c r="A72" s="199"/>
      <c r="B72" s="204" t="s">
        <v>824</v>
      </c>
      <c r="C72" s="201" t="s">
        <v>49</v>
      </c>
      <c r="D72" s="202"/>
      <c r="E72" s="202"/>
      <c r="F72" s="203">
        <f>F70*0.2</f>
        <v>4.4000000000000004</v>
      </c>
      <c r="G72" s="9" t="s">
        <v>661</v>
      </c>
      <c r="H72" s="104"/>
    </row>
    <row r="73" spans="1:8" ht="13.8">
      <c r="A73" s="158"/>
      <c r="B73" s="159" t="s">
        <v>735</v>
      </c>
      <c r="C73" s="193"/>
      <c r="D73" s="158"/>
      <c r="E73" s="158"/>
      <c r="F73" s="158"/>
    </row>
    <row r="74" spans="1:8" ht="13.8">
      <c r="A74" s="164"/>
      <c r="B74" s="159" t="s">
        <v>736</v>
      </c>
      <c r="C74" s="161" t="s">
        <v>737</v>
      </c>
      <c r="D74" s="163">
        <v>1.4999999999999999E-2</v>
      </c>
      <c r="E74" s="163">
        <v>749</v>
      </c>
      <c r="F74" s="163">
        <f>D74*E74</f>
        <v>11.234999999999999</v>
      </c>
    </row>
    <row r="75" spans="1:8" ht="13.8">
      <c r="A75" s="158"/>
      <c r="B75" s="159" t="s">
        <v>742</v>
      </c>
      <c r="C75" s="193"/>
      <c r="D75" s="158"/>
      <c r="E75" s="158"/>
      <c r="F75" s="168">
        <f>SUM(F72:F74)</f>
        <v>15.635</v>
      </c>
      <c r="G75" s="9" t="s">
        <v>748</v>
      </c>
    </row>
    <row r="76" spans="1:8" ht="13.8">
      <c r="A76" s="158"/>
      <c r="B76" s="159" t="s">
        <v>743</v>
      </c>
      <c r="C76" s="193"/>
      <c r="D76" s="158"/>
      <c r="E76" s="158"/>
      <c r="F76" s="163">
        <f>F75*1%</f>
        <v>0.15634999999999999</v>
      </c>
      <c r="G76" s="9"/>
    </row>
    <row r="77" spans="1:8" ht="13.8">
      <c r="A77" s="158"/>
      <c r="B77" s="159" t="s">
        <v>742</v>
      </c>
      <c r="C77" s="193"/>
      <c r="D77" s="158"/>
      <c r="E77" s="158"/>
      <c r="F77" s="168">
        <f>SUM(F75:F76)</f>
        <v>15.79135</v>
      </c>
      <c r="G77" s="9" t="s">
        <v>749</v>
      </c>
    </row>
    <row r="78" spans="1:8" ht="13.8">
      <c r="A78" s="158"/>
      <c r="B78" s="159" t="s">
        <v>752</v>
      </c>
      <c r="C78" s="193"/>
      <c r="D78" s="158"/>
      <c r="E78" s="158"/>
      <c r="F78" s="163">
        <f>F77*0.2127</f>
        <v>3.3588201449999997</v>
      </c>
      <c r="G78" s="9"/>
    </row>
    <row r="79" spans="1:8" ht="13.8">
      <c r="A79" s="158"/>
      <c r="B79" s="159" t="s">
        <v>742</v>
      </c>
      <c r="C79" s="158"/>
      <c r="D79" s="158"/>
      <c r="E79" s="158"/>
      <c r="F79" s="168">
        <f>SUM(F77:F78)</f>
        <v>19.150170145000001</v>
      </c>
      <c r="G79" s="9" t="s">
        <v>750</v>
      </c>
    </row>
    <row r="80" spans="1:8" ht="13.8">
      <c r="A80" s="158"/>
      <c r="B80" s="159" t="s">
        <v>744</v>
      </c>
      <c r="C80" s="158"/>
      <c r="D80" s="158"/>
      <c r="E80" s="158"/>
      <c r="F80" s="163">
        <f>F79*15%</f>
        <v>2.8725255217500001</v>
      </c>
      <c r="G80" s="9"/>
    </row>
    <row r="81" spans="1:7" ht="13.8">
      <c r="A81" s="158"/>
      <c r="B81" s="159" t="s">
        <v>742</v>
      </c>
      <c r="C81" s="158"/>
      <c r="D81" s="158"/>
      <c r="E81" s="158"/>
      <c r="F81" s="168">
        <f>SUM(F79:F80)</f>
        <v>22.02269566675</v>
      </c>
      <c r="G81" s="9" t="s">
        <v>751</v>
      </c>
    </row>
    <row r="82" spans="1:7" ht="13.8">
      <c r="A82" s="158"/>
      <c r="B82" s="159" t="s">
        <v>745</v>
      </c>
      <c r="C82" s="158"/>
      <c r="D82" s="158"/>
      <c r="E82" s="158"/>
      <c r="F82" s="163">
        <f>F81*1%</f>
        <v>0.2202269566675</v>
      </c>
      <c r="G82" s="9"/>
    </row>
    <row r="83" spans="1:7" ht="13.8">
      <c r="A83" s="158"/>
      <c r="B83" s="159" t="s">
        <v>755</v>
      </c>
      <c r="C83" s="158"/>
      <c r="D83" s="158"/>
      <c r="E83" s="158"/>
      <c r="F83" s="163">
        <f>SUM(F81:F82)</f>
        <v>22.242922623417499</v>
      </c>
      <c r="G83" s="9"/>
    </row>
    <row r="84" spans="1:7" ht="13.8">
      <c r="A84" s="166"/>
      <c r="B84" s="167" t="s">
        <v>747</v>
      </c>
      <c r="C84" s="166"/>
      <c r="D84" s="166"/>
      <c r="E84" s="166"/>
      <c r="F84" s="169">
        <v>22</v>
      </c>
      <c r="G84" s="9"/>
    </row>
    <row r="85" spans="1:7" ht="13.8">
      <c r="A85" s="120"/>
      <c r="B85" s="9"/>
      <c r="C85" s="4"/>
      <c r="D85" s="9"/>
      <c r="E85" s="104"/>
    </row>
    <row r="86" spans="1:7">
      <c r="A86" s="121"/>
    </row>
    <row r="87" spans="1:7" ht="13.8">
      <c r="A87" s="9">
        <v>6</v>
      </c>
      <c r="B87" s="175" t="s">
        <v>782</v>
      </c>
      <c r="C87" s="9"/>
      <c r="D87" s="9"/>
      <c r="E87" s="9"/>
      <c r="F87" s="9"/>
      <c r="G87" s="9"/>
    </row>
    <row r="88" spans="1:7" ht="13.8">
      <c r="A88" s="9"/>
      <c r="B88" s="175"/>
      <c r="C88" s="9"/>
      <c r="D88" s="9"/>
      <c r="E88" s="9"/>
      <c r="F88" s="9"/>
      <c r="G88" s="9"/>
    </row>
    <row r="89" spans="1:7" ht="27.6">
      <c r="A89" s="155" t="s">
        <v>728</v>
      </c>
      <c r="B89" s="155" t="s">
        <v>139</v>
      </c>
      <c r="C89" s="155" t="s">
        <v>22</v>
      </c>
      <c r="D89" s="155" t="s">
        <v>21</v>
      </c>
      <c r="E89" s="155" t="s">
        <v>729</v>
      </c>
      <c r="F89" s="155" t="s">
        <v>730</v>
      </c>
      <c r="G89" s="1"/>
    </row>
    <row r="90" spans="1:7" ht="13.8">
      <c r="A90" s="176"/>
      <c r="B90" s="157" t="s">
        <v>769</v>
      </c>
      <c r="C90" s="176"/>
      <c r="D90" s="176"/>
      <c r="E90" s="176"/>
      <c r="F90" s="176"/>
      <c r="G90" s="9"/>
    </row>
    <row r="91" spans="1:7" ht="13.8">
      <c r="A91" s="177"/>
      <c r="B91" s="159" t="s">
        <v>731</v>
      </c>
      <c r="C91" s="177"/>
      <c r="D91" s="177"/>
      <c r="E91" s="177"/>
      <c r="F91" s="177"/>
      <c r="G91" s="9"/>
    </row>
    <row r="92" spans="1:7" ht="13.8">
      <c r="A92" s="178"/>
      <c r="B92" s="32" t="s">
        <v>770</v>
      </c>
      <c r="C92" s="177"/>
      <c r="D92" s="177"/>
      <c r="E92" s="177"/>
      <c r="F92" s="177"/>
      <c r="G92" s="9"/>
    </row>
    <row r="93" spans="1:7" ht="13.8">
      <c r="A93" s="177"/>
      <c r="B93" s="177" t="s">
        <v>771</v>
      </c>
      <c r="C93" s="161" t="s">
        <v>772</v>
      </c>
      <c r="D93" s="179">
        <v>10</v>
      </c>
      <c r="E93" s="179">
        <f>559/3</f>
        <v>186.33333333333334</v>
      </c>
      <c r="F93" s="180">
        <f>D93*E93</f>
        <v>1863.3333333333335</v>
      </c>
      <c r="G93" s="207" t="s">
        <v>831</v>
      </c>
    </row>
    <row r="94" spans="1:7" ht="27.6">
      <c r="A94" s="177"/>
      <c r="B94" s="32" t="s">
        <v>825</v>
      </c>
      <c r="C94" s="161"/>
      <c r="D94" s="179"/>
      <c r="E94" s="179"/>
      <c r="F94" s="113"/>
    </row>
    <row r="95" spans="1:7" ht="13.8">
      <c r="A95" s="177"/>
      <c r="B95" s="159" t="s">
        <v>774</v>
      </c>
      <c r="C95" s="177"/>
      <c r="D95" s="177"/>
      <c r="E95" s="177"/>
      <c r="F95" s="179">
        <f>F93*30%</f>
        <v>559</v>
      </c>
      <c r="G95" s="9"/>
    </row>
    <row r="96" spans="1:7" ht="13.8">
      <c r="A96" s="177"/>
      <c r="B96" s="159" t="s">
        <v>775</v>
      </c>
      <c r="C96" s="177"/>
      <c r="D96" s="177"/>
      <c r="E96" s="177"/>
      <c r="F96" s="177"/>
      <c r="G96" s="9"/>
    </row>
    <row r="97" spans="1:7" ht="13.8">
      <c r="A97" s="178">
        <v>9999</v>
      </c>
      <c r="B97" s="159" t="s">
        <v>776</v>
      </c>
      <c r="C97" s="161" t="s">
        <v>741</v>
      </c>
      <c r="D97" s="179">
        <v>2.73</v>
      </c>
      <c r="E97" s="179">
        <v>2.27</v>
      </c>
      <c r="F97" s="180">
        <f>D97*E97</f>
        <v>6.1970999999999998</v>
      </c>
      <c r="G97" s="9"/>
    </row>
    <row r="98" spans="1:7" ht="13.8">
      <c r="A98" s="177"/>
      <c r="B98" s="159" t="s">
        <v>735</v>
      </c>
      <c r="C98" s="177"/>
      <c r="D98" s="177"/>
      <c r="E98" s="177"/>
      <c r="F98" s="177"/>
      <c r="G98" s="9"/>
    </row>
    <row r="99" spans="1:7" ht="13.8">
      <c r="A99" s="181">
        <v>116</v>
      </c>
      <c r="B99" s="159" t="s">
        <v>777</v>
      </c>
      <c r="C99" s="161" t="s">
        <v>737</v>
      </c>
      <c r="D99" s="179">
        <v>0.33</v>
      </c>
      <c r="E99" s="179">
        <v>897</v>
      </c>
      <c r="F99" s="180">
        <f>D99*E99</f>
        <v>296.01</v>
      </c>
      <c r="G99" s="9"/>
    </row>
    <row r="100" spans="1:7" ht="13.8">
      <c r="A100" s="181">
        <v>117</v>
      </c>
      <c r="B100" s="159" t="s">
        <v>778</v>
      </c>
      <c r="C100" s="161" t="s">
        <v>737</v>
      </c>
      <c r="D100" s="179">
        <v>0.66</v>
      </c>
      <c r="E100" s="179">
        <v>816</v>
      </c>
      <c r="F100" s="180">
        <f>D100*E100</f>
        <v>538.56000000000006</v>
      </c>
      <c r="G100" s="9"/>
    </row>
    <row r="101" spans="1:7" ht="13.8">
      <c r="A101" s="181">
        <v>114</v>
      </c>
      <c r="B101" s="159" t="s">
        <v>779</v>
      </c>
      <c r="C101" s="161" t="s">
        <v>737</v>
      </c>
      <c r="D101" s="179">
        <v>0.66</v>
      </c>
      <c r="E101" s="179">
        <v>736</v>
      </c>
      <c r="F101" s="180">
        <f>D101*E101</f>
        <v>485.76000000000005</v>
      </c>
      <c r="G101" s="9"/>
    </row>
    <row r="102" spans="1:7" ht="13.8">
      <c r="A102" s="177"/>
      <c r="B102" s="159" t="s">
        <v>742</v>
      </c>
      <c r="C102" s="177"/>
      <c r="D102" s="177"/>
      <c r="E102" s="177"/>
      <c r="F102" s="182">
        <f>SUM(F93:F101)</f>
        <v>3748.8604333333337</v>
      </c>
      <c r="G102" s="9" t="s">
        <v>748</v>
      </c>
    </row>
    <row r="103" spans="1:7" ht="13.8">
      <c r="A103" s="177"/>
      <c r="B103" s="159" t="s">
        <v>743</v>
      </c>
      <c r="C103" s="177"/>
      <c r="D103" s="177"/>
      <c r="E103" s="177"/>
      <c r="F103" s="179">
        <f>F102*1%</f>
        <v>37.488604333333335</v>
      </c>
      <c r="G103" s="9"/>
    </row>
    <row r="104" spans="1:7" ht="13.8">
      <c r="A104" s="177"/>
      <c r="B104" s="159" t="s">
        <v>742</v>
      </c>
      <c r="C104" s="177"/>
      <c r="D104" s="177"/>
      <c r="E104" s="177"/>
      <c r="F104" s="182">
        <f>SUM(F102:F103)</f>
        <v>3786.3490376666668</v>
      </c>
      <c r="G104" s="9" t="s">
        <v>749</v>
      </c>
    </row>
    <row r="105" spans="1:7" ht="13.8">
      <c r="A105" s="177"/>
      <c r="B105" s="159" t="s">
        <v>752</v>
      </c>
      <c r="C105" s="177"/>
      <c r="D105" s="177"/>
      <c r="E105" s="177"/>
      <c r="F105" s="179">
        <f>F104*0.2127</f>
        <v>805.3564403117</v>
      </c>
      <c r="G105" s="9"/>
    </row>
    <row r="106" spans="1:7" ht="13.8">
      <c r="A106" s="177"/>
      <c r="B106" s="159" t="s">
        <v>742</v>
      </c>
      <c r="C106" s="177"/>
      <c r="D106" s="177"/>
      <c r="E106" s="177"/>
      <c r="F106" s="182">
        <f>SUM(F104:F105)</f>
        <v>4591.7054779783666</v>
      </c>
      <c r="G106" s="9" t="s">
        <v>750</v>
      </c>
    </row>
    <row r="107" spans="1:7" ht="13.8">
      <c r="A107" s="177"/>
      <c r="B107" s="159" t="s">
        <v>744</v>
      </c>
      <c r="C107" s="177"/>
      <c r="D107" s="177"/>
      <c r="E107" s="177"/>
      <c r="F107" s="179">
        <f>F106*15%</f>
        <v>688.75582169675499</v>
      </c>
      <c r="G107" s="9"/>
    </row>
    <row r="108" spans="1:7" ht="13.8">
      <c r="A108" s="177"/>
      <c r="B108" s="159" t="s">
        <v>742</v>
      </c>
      <c r="C108" s="177"/>
      <c r="D108" s="177"/>
      <c r="E108" s="177"/>
      <c r="F108" s="182">
        <f>SUM(F106:F107)</f>
        <v>5280.4612996751221</v>
      </c>
      <c r="G108" s="9" t="s">
        <v>751</v>
      </c>
    </row>
    <row r="109" spans="1:7" ht="13.8">
      <c r="A109" s="177"/>
      <c r="B109" s="159" t="s">
        <v>745</v>
      </c>
      <c r="C109" s="177"/>
      <c r="D109" s="177"/>
      <c r="E109" s="177"/>
      <c r="F109" s="179">
        <f>F108*1%</f>
        <v>52.804612996751224</v>
      </c>
      <c r="G109" s="9"/>
    </row>
    <row r="110" spans="1:7" ht="13.8">
      <c r="A110" s="177"/>
      <c r="B110" s="159" t="s">
        <v>780</v>
      </c>
      <c r="C110" s="177"/>
      <c r="D110" s="177"/>
      <c r="E110" s="177"/>
      <c r="F110" s="182">
        <f>SUM(F108:F109)</f>
        <v>5333.2659126718736</v>
      </c>
      <c r="G110" s="9"/>
    </row>
    <row r="111" spans="1:7" ht="13.8">
      <c r="A111" s="177"/>
      <c r="B111" s="159" t="s">
        <v>781</v>
      </c>
      <c r="C111" s="177"/>
      <c r="D111" s="177"/>
      <c r="E111" s="177"/>
      <c r="F111" s="179">
        <f>F110/10</f>
        <v>533.32659126718738</v>
      </c>
      <c r="G111" s="9"/>
    </row>
    <row r="112" spans="1:7" ht="13.8">
      <c r="A112" s="183"/>
      <c r="B112" s="167" t="s">
        <v>747</v>
      </c>
      <c r="C112" s="183"/>
      <c r="D112" s="183"/>
      <c r="E112" s="183"/>
      <c r="F112" s="184">
        <v>533</v>
      </c>
      <c r="G112" s="9"/>
    </row>
    <row r="113" spans="1:8">
      <c r="A113" s="121"/>
    </row>
    <row r="114" spans="1:8" ht="13.8">
      <c r="A114" s="9">
        <v>7</v>
      </c>
      <c r="B114" s="175" t="s">
        <v>783</v>
      </c>
      <c r="C114" s="9"/>
      <c r="D114" s="9"/>
      <c r="E114" s="9"/>
      <c r="F114" s="9"/>
      <c r="G114" s="9"/>
    </row>
    <row r="115" spans="1:8" ht="13.8">
      <c r="A115" s="9"/>
      <c r="B115" s="175"/>
      <c r="C115" s="9"/>
      <c r="D115" s="9"/>
      <c r="E115" s="9"/>
      <c r="F115" s="9"/>
      <c r="G115" s="9"/>
    </row>
    <row r="116" spans="1:8" ht="27.6">
      <c r="A116" s="155" t="s">
        <v>728</v>
      </c>
      <c r="B116" s="155" t="s">
        <v>139</v>
      </c>
      <c r="C116" s="155" t="s">
        <v>22</v>
      </c>
      <c r="D116" s="155" t="s">
        <v>21</v>
      </c>
      <c r="E116" s="155" t="s">
        <v>729</v>
      </c>
      <c r="F116" s="155" t="s">
        <v>730</v>
      </c>
      <c r="G116" s="1"/>
    </row>
    <row r="117" spans="1:8" ht="13.8">
      <c r="A117" s="176"/>
      <c r="B117" s="157" t="s">
        <v>785</v>
      </c>
      <c r="C117" s="176"/>
      <c r="D117" s="176"/>
      <c r="E117" s="176"/>
      <c r="F117" s="176"/>
      <c r="G117" s="9"/>
    </row>
    <row r="118" spans="1:8" ht="13.8">
      <c r="A118" s="177"/>
      <c r="B118" s="159" t="s">
        <v>731</v>
      </c>
      <c r="C118" s="177"/>
      <c r="D118" s="177"/>
      <c r="E118" s="177"/>
      <c r="F118" s="177"/>
      <c r="G118" s="9"/>
    </row>
    <row r="119" spans="1:8" ht="13.8">
      <c r="A119" s="178"/>
      <c r="B119" s="32" t="s">
        <v>784</v>
      </c>
      <c r="C119" s="177"/>
      <c r="D119" s="177"/>
      <c r="E119" s="177"/>
      <c r="F119" s="177"/>
      <c r="G119" s="9"/>
    </row>
    <row r="120" spans="1:8" ht="13.8">
      <c r="A120" s="177"/>
      <c r="B120" s="177" t="s">
        <v>771</v>
      </c>
      <c r="C120" s="161" t="s">
        <v>772</v>
      </c>
      <c r="D120" s="179">
        <v>1</v>
      </c>
      <c r="E120" s="179">
        <v>53.3</v>
      </c>
      <c r="F120" s="180">
        <f>D120*E120</f>
        <v>53.3</v>
      </c>
      <c r="G120" s="9" t="s">
        <v>773</v>
      </c>
      <c r="H120" s="207" t="s">
        <v>832</v>
      </c>
    </row>
    <row r="121" spans="1:8" ht="13.8">
      <c r="A121" s="177"/>
      <c r="B121" s="177" t="s">
        <v>826</v>
      </c>
      <c r="C121" s="161"/>
      <c r="D121" s="179"/>
      <c r="E121" s="179"/>
      <c r="F121" s="113"/>
      <c r="G121" s="9"/>
    </row>
    <row r="122" spans="1:8" ht="13.8">
      <c r="A122" s="177"/>
      <c r="B122" s="159" t="s">
        <v>735</v>
      </c>
      <c r="C122" s="177"/>
      <c r="D122" s="177"/>
      <c r="E122" s="177"/>
      <c r="F122" s="177"/>
      <c r="G122" s="9"/>
    </row>
    <row r="123" spans="1:8" ht="13.8">
      <c r="A123" s="181">
        <v>116</v>
      </c>
      <c r="B123" s="159" t="s">
        <v>777</v>
      </c>
      <c r="C123" s="161" t="s">
        <v>737</v>
      </c>
      <c r="D123" s="179">
        <v>0.03</v>
      </c>
      <c r="E123" s="179">
        <v>897</v>
      </c>
      <c r="F123" s="180">
        <f>D123*E123</f>
        <v>26.91</v>
      </c>
      <c r="G123" s="9"/>
    </row>
    <row r="124" spans="1:8" ht="13.8">
      <c r="A124" s="181">
        <v>117</v>
      </c>
      <c r="B124" s="159" t="s">
        <v>778</v>
      </c>
      <c r="C124" s="161" t="s">
        <v>737</v>
      </c>
      <c r="D124" s="179">
        <v>0.02</v>
      </c>
      <c r="E124" s="179">
        <v>816</v>
      </c>
      <c r="F124" s="180">
        <f>D124*E124</f>
        <v>16.32</v>
      </c>
      <c r="G124" s="9"/>
    </row>
    <row r="125" spans="1:8" ht="13.8">
      <c r="A125" s="177"/>
      <c r="B125" s="159" t="s">
        <v>742</v>
      </c>
      <c r="C125" s="177"/>
      <c r="D125" s="177"/>
      <c r="E125" s="177"/>
      <c r="F125" s="182">
        <f>SUM(F120:F124)</f>
        <v>96.53</v>
      </c>
      <c r="G125" s="9" t="s">
        <v>748</v>
      </c>
    </row>
    <row r="126" spans="1:8" ht="13.8">
      <c r="A126" s="177"/>
      <c r="B126" s="159" t="s">
        <v>743</v>
      </c>
      <c r="C126" s="177"/>
      <c r="D126" s="177"/>
      <c r="E126" s="177"/>
      <c r="F126" s="179">
        <f>F125*1%</f>
        <v>0.96530000000000005</v>
      </c>
      <c r="G126" s="9"/>
    </row>
    <row r="127" spans="1:8" ht="13.8">
      <c r="A127" s="177"/>
      <c r="B127" s="159" t="s">
        <v>742</v>
      </c>
      <c r="C127" s="177"/>
      <c r="D127" s="177"/>
      <c r="E127" s="177"/>
      <c r="F127" s="182">
        <f>SUM(F125:F126)</f>
        <v>97.4953</v>
      </c>
      <c r="G127" s="9" t="s">
        <v>749</v>
      </c>
    </row>
    <row r="128" spans="1:8" ht="13.8">
      <c r="A128" s="177"/>
      <c r="B128" s="159" t="s">
        <v>752</v>
      </c>
      <c r="C128" s="177"/>
      <c r="D128" s="177"/>
      <c r="E128" s="177"/>
      <c r="F128" s="179">
        <f>F127*0.2127</f>
        <v>20.73725031</v>
      </c>
      <c r="G128" s="9"/>
    </row>
    <row r="129" spans="1:8" ht="13.8">
      <c r="A129" s="177"/>
      <c r="B129" s="159" t="s">
        <v>742</v>
      </c>
      <c r="C129" s="177"/>
      <c r="D129" s="177"/>
      <c r="E129" s="177"/>
      <c r="F129" s="182">
        <f>SUM(F127:F128)</f>
        <v>118.23255030999999</v>
      </c>
      <c r="G129" s="9" t="s">
        <v>750</v>
      </c>
    </row>
    <row r="130" spans="1:8" ht="13.8">
      <c r="A130" s="177"/>
      <c r="B130" s="159" t="s">
        <v>744</v>
      </c>
      <c r="C130" s="177"/>
      <c r="D130" s="177"/>
      <c r="E130" s="177"/>
      <c r="F130" s="179">
        <f>F129*15%</f>
        <v>17.7348825465</v>
      </c>
      <c r="G130" s="9"/>
    </row>
    <row r="131" spans="1:8" ht="13.8">
      <c r="A131" s="177"/>
      <c r="B131" s="159" t="s">
        <v>742</v>
      </c>
      <c r="C131" s="177"/>
      <c r="D131" s="177"/>
      <c r="E131" s="177"/>
      <c r="F131" s="182">
        <f>SUM(F129:F130)</f>
        <v>135.96743285649998</v>
      </c>
      <c r="G131" s="9" t="s">
        <v>751</v>
      </c>
    </row>
    <row r="132" spans="1:8" ht="13.8">
      <c r="A132" s="177"/>
      <c r="B132" s="159" t="s">
        <v>745</v>
      </c>
      <c r="C132" s="177"/>
      <c r="D132" s="177"/>
      <c r="E132" s="177"/>
      <c r="F132" s="179">
        <f>F131*1%</f>
        <v>1.3596743285649999</v>
      </c>
      <c r="G132" s="9"/>
    </row>
    <row r="133" spans="1:8" ht="13.8">
      <c r="A133" s="177"/>
      <c r="B133" s="159" t="s">
        <v>786</v>
      </c>
      <c r="C133" s="177"/>
      <c r="D133" s="177"/>
      <c r="E133" s="177"/>
      <c r="F133" s="179">
        <f>SUM(F131:F132)</f>
        <v>137.32710718506499</v>
      </c>
      <c r="G133" s="9"/>
    </row>
    <row r="134" spans="1:8" ht="13.8">
      <c r="A134" s="183"/>
      <c r="B134" s="167" t="s">
        <v>747</v>
      </c>
      <c r="C134" s="183"/>
      <c r="D134" s="183"/>
      <c r="E134" s="183"/>
      <c r="F134" s="184">
        <v>137</v>
      </c>
      <c r="G134" s="9"/>
    </row>
    <row r="135" spans="1:8">
      <c r="A135" s="121"/>
    </row>
    <row r="136" spans="1:8" ht="13.8">
      <c r="A136" s="9">
        <v>8</v>
      </c>
      <c r="B136" s="175" t="s">
        <v>795</v>
      </c>
      <c r="C136" s="9"/>
      <c r="D136" s="9"/>
      <c r="E136" s="9"/>
      <c r="F136" s="9"/>
      <c r="G136" s="9"/>
    </row>
    <row r="137" spans="1:8" ht="13.8">
      <c r="A137" s="9"/>
      <c r="B137" s="175"/>
      <c r="C137" s="9"/>
      <c r="D137" s="9"/>
      <c r="E137" s="9"/>
      <c r="F137" s="9"/>
      <c r="G137" s="9"/>
    </row>
    <row r="138" spans="1:8" ht="27.6">
      <c r="A138" s="155" t="s">
        <v>728</v>
      </c>
      <c r="B138" s="155" t="s">
        <v>139</v>
      </c>
      <c r="C138" s="155" t="s">
        <v>22</v>
      </c>
      <c r="D138" s="155" t="s">
        <v>21</v>
      </c>
      <c r="E138" s="155" t="s">
        <v>729</v>
      </c>
      <c r="F138" s="155" t="s">
        <v>730</v>
      </c>
      <c r="G138" s="1"/>
    </row>
    <row r="139" spans="1:8" ht="13.8">
      <c r="A139" s="176"/>
      <c r="B139" s="157" t="s">
        <v>787</v>
      </c>
      <c r="C139" s="176"/>
      <c r="D139" s="176"/>
      <c r="E139" s="176"/>
      <c r="F139" s="176"/>
      <c r="G139" s="9"/>
    </row>
    <row r="140" spans="1:8" ht="13.8">
      <c r="A140" s="177"/>
      <c r="B140" s="159" t="s">
        <v>731</v>
      </c>
      <c r="C140" s="177"/>
      <c r="D140" s="177"/>
      <c r="E140" s="177"/>
      <c r="F140" s="177"/>
      <c r="G140" s="9"/>
    </row>
    <row r="141" spans="1:8" ht="13.8">
      <c r="A141" s="178">
        <v>1</v>
      </c>
      <c r="B141" s="32" t="s">
        <v>788</v>
      </c>
      <c r="C141" s="177"/>
      <c r="D141" s="177"/>
      <c r="E141" s="177"/>
      <c r="F141" s="177"/>
      <c r="G141" s="9"/>
    </row>
    <row r="142" spans="1:8" ht="13.8">
      <c r="A142" s="177"/>
      <c r="B142" s="177" t="s">
        <v>794</v>
      </c>
      <c r="C142" s="161" t="s">
        <v>772</v>
      </c>
      <c r="D142" s="179">
        <v>0.45</v>
      </c>
      <c r="E142" s="179">
        <f>1042/3</f>
        <v>347.33333333333331</v>
      </c>
      <c r="F142" s="180">
        <f>D142*E142</f>
        <v>156.29999999999998</v>
      </c>
      <c r="G142" s="9" t="s">
        <v>773</v>
      </c>
      <c r="H142" s="207" t="s">
        <v>833</v>
      </c>
    </row>
    <row r="143" spans="1:8" ht="13.8">
      <c r="A143" s="177"/>
      <c r="B143" s="32" t="s">
        <v>827</v>
      </c>
      <c r="C143" s="161"/>
      <c r="D143" s="179"/>
      <c r="E143" s="179"/>
      <c r="F143" s="113"/>
      <c r="G143" s="9"/>
    </row>
    <row r="144" spans="1:8" ht="13.8">
      <c r="A144" s="177"/>
      <c r="B144" s="159" t="s">
        <v>789</v>
      </c>
      <c r="C144" s="177"/>
      <c r="D144" s="177"/>
      <c r="E144" s="177"/>
      <c r="F144" s="179">
        <f>F142*5%</f>
        <v>7.8149999999999995</v>
      </c>
      <c r="G144" s="9"/>
    </row>
    <row r="145" spans="1:7" ht="13.8">
      <c r="A145" s="177"/>
      <c r="B145" s="159" t="s">
        <v>790</v>
      </c>
      <c r="C145" s="177"/>
      <c r="D145" s="177"/>
      <c r="E145" s="177"/>
      <c r="F145" s="177"/>
      <c r="G145" s="9"/>
    </row>
    <row r="146" spans="1:7" ht="13.8">
      <c r="A146" s="177">
        <v>2</v>
      </c>
      <c r="B146" s="159" t="s">
        <v>791</v>
      </c>
      <c r="C146" s="185" t="s">
        <v>792</v>
      </c>
      <c r="D146" s="186">
        <v>1</v>
      </c>
      <c r="E146" s="187">
        <v>164.5</v>
      </c>
      <c r="F146" s="180">
        <f>D146*E146</f>
        <v>164.5</v>
      </c>
      <c r="G146" s="9"/>
    </row>
    <row r="147" spans="1:7" ht="13.8">
      <c r="A147" s="177"/>
      <c r="B147" s="159" t="s">
        <v>826</v>
      </c>
      <c r="C147" s="185"/>
      <c r="D147" s="186"/>
      <c r="E147" s="187"/>
      <c r="F147" s="180"/>
      <c r="G147" s="9"/>
    </row>
    <row r="148" spans="1:7" ht="13.8">
      <c r="A148" s="178">
        <v>9999</v>
      </c>
      <c r="B148" s="159" t="s">
        <v>776</v>
      </c>
      <c r="C148" s="161" t="s">
        <v>741</v>
      </c>
      <c r="D148" s="179">
        <v>0.122</v>
      </c>
      <c r="E148" s="179">
        <v>2.27</v>
      </c>
      <c r="F148" s="180">
        <f>D148*E148</f>
        <v>0.27694000000000002</v>
      </c>
      <c r="G148" s="9"/>
    </row>
    <row r="149" spans="1:7" ht="13.8">
      <c r="A149" s="177"/>
      <c r="B149" s="159" t="s">
        <v>735</v>
      </c>
      <c r="C149" s="177"/>
      <c r="D149" s="177"/>
      <c r="E149" s="177"/>
      <c r="F149" s="177"/>
      <c r="G149" s="9"/>
    </row>
    <row r="150" spans="1:7" ht="13.8">
      <c r="A150" s="181">
        <v>116</v>
      </c>
      <c r="B150" s="159" t="s">
        <v>777</v>
      </c>
      <c r="C150" s="161" t="s">
        <v>737</v>
      </c>
      <c r="D150" s="179">
        <v>1.4E-2</v>
      </c>
      <c r="E150" s="179">
        <v>897</v>
      </c>
      <c r="F150" s="180">
        <f>D150*E150</f>
        <v>12.558</v>
      </c>
      <c r="G150" s="9"/>
    </row>
    <row r="151" spans="1:7" ht="13.8">
      <c r="A151" s="181">
        <v>117</v>
      </c>
      <c r="B151" s="159" t="s">
        <v>778</v>
      </c>
      <c r="C151" s="161" t="s">
        <v>737</v>
      </c>
      <c r="D151" s="179">
        <v>0.02</v>
      </c>
      <c r="E151" s="179">
        <v>816</v>
      </c>
      <c r="F151" s="180">
        <f>D151*E151</f>
        <v>16.32</v>
      </c>
      <c r="G151" s="9"/>
    </row>
    <row r="152" spans="1:7" ht="13.8">
      <c r="A152" s="177"/>
      <c r="B152" s="159" t="s">
        <v>742</v>
      </c>
      <c r="C152" s="177"/>
      <c r="D152" s="177"/>
      <c r="E152" s="177"/>
      <c r="F152" s="182">
        <f>SUM(F142:F151)</f>
        <v>357.76994000000002</v>
      </c>
      <c r="G152" s="9" t="s">
        <v>748</v>
      </c>
    </row>
    <row r="153" spans="1:7" ht="13.8">
      <c r="A153" s="177"/>
      <c r="B153" s="159" t="s">
        <v>743</v>
      </c>
      <c r="C153" s="177"/>
      <c r="D153" s="177"/>
      <c r="E153" s="177"/>
      <c r="F153" s="179">
        <f>F152*1%</f>
        <v>3.5776994000000002</v>
      </c>
      <c r="G153" s="9"/>
    </row>
    <row r="154" spans="1:7" ht="13.8">
      <c r="A154" s="177"/>
      <c r="B154" s="159" t="s">
        <v>742</v>
      </c>
      <c r="C154" s="177"/>
      <c r="D154" s="177"/>
      <c r="E154" s="177"/>
      <c r="F154" s="182">
        <f>SUM(F152:F153)</f>
        <v>361.34763940000005</v>
      </c>
      <c r="G154" s="9" t="s">
        <v>749</v>
      </c>
    </row>
    <row r="155" spans="1:7" ht="13.8">
      <c r="A155" s="177"/>
      <c r="B155" s="159" t="s">
        <v>752</v>
      </c>
      <c r="C155" s="177"/>
      <c r="D155" s="177"/>
      <c r="E155" s="177"/>
      <c r="F155" s="179">
        <f>F154*0.2127</f>
        <v>76.858642900380005</v>
      </c>
      <c r="G155" s="9"/>
    </row>
    <row r="156" spans="1:7" ht="13.8">
      <c r="A156" s="177"/>
      <c r="B156" s="159" t="s">
        <v>742</v>
      </c>
      <c r="C156" s="177"/>
      <c r="D156" s="177"/>
      <c r="E156" s="177"/>
      <c r="F156" s="182">
        <f>SUM(F154:F155)</f>
        <v>438.20628230038005</v>
      </c>
      <c r="G156" s="9" t="s">
        <v>750</v>
      </c>
    </row>
    <row r="157" spans="1:7" ht="13.8">
      <c r="A157" s="177"/>
      <c r="B157" s="159" t="s">
        <v>744</v>
      </c>
      <c r="C157" s="177"/>
      <c r="D157" s="177"/>
      <c r="E157" s="177"/>
      <c r="F157" s="179">
        <f>F156*15%</f>
        <v>65.730942345057002</v>
      </c>
      <c r="G157" s="9"/>
    </row>
    <row r="158" spans="1:7" ht="13.8">
      <c r="A158" s="177"/>
      <c r="B158" s="159" t="s">
        <v>742</v>
      </c>
      <c r="C158" s="177"/>
      <c r="D158" s="177"/>
      <c r="E158" s="177"/>
      <c r="F158" s="182">
        <f>SUM(F156:F157)</f>
        <v>503.93722464543703</v>
      </c>
      <c r="G158" s="9" t="s">
        <v>751</v>
      </c>
    </row>
    <row r="159" spans="1:7" ht="13.8">
      <c r="A159" s="177"/>
      <c r="B159" s="159" t="s">
        <v>745</v>
      </c>
      <c r="C159" s="177"/>
      <c r="D159" s="177"/>
      <c r="E159" s="177"/>
      <c r="F159" s="179">
        <f>F158*1%</f>
        <v>5.03937224645437</v>
      </c>
      <c r="G159" s="9"/>
    </row>
    <row r="160" spans="1:7" ht="13.8">
      <c r="A160" s="177"/>
      <c r="B160" s="159" t="s">
        <v>793</v>
      </c>
      <c r="C160" s="177"/>
      <c r="D160" s="177"/>
      <c r="E160" s="177"/>
      <c r="F160" s="182">
        <f>SUM(F158:F159)</f>
        <v>508.9765968918914</v>
      </c>
      <c r="G160" s="9"/>
    </row>
    <row r="161" spans="1:8" ht="13.8">
      <c r="A161" s="183"/>
      <c r="B161" s="167" t="s">
        <v>747</v>
      </c>
      <c r="C161" s="183"/>
      <c r="D161" s="183"/>
      <c r="E161" s="183"/>
      <c r="F161" s="184">
        <v>509</v>
      </c>
      <c r="G161" s="9"/>
    </row>
    <row r="162" spans="1:8">
      <c r="A162" s="121"/>
    </row>
    <row r="163" spans="1:8" ht="13.8">
      <c r="A163" s="9">
        <v>9</v>
      </c>
      <c r="B163" s="175" t="s">
        <v>796</v>
      </c>
      <c r="C163" s="9"/>
      <c r="D163" s="9"/>
      <c r="E163" s="9"/>
      <c r="F163" s="9"/>
      <c r="G163" s="9"/>
    </row>
    <row r="164" spans="1:8" ht="13.8">
      <c r="A164" s="9"/>
      <c r="B164" s="175"/>
      <c r="C164" s="9"/>
      <c r="D164" s="9"/>
      <c r="E164" s="9"/>
      <c r="F164" s="9"/>
      <c r="G164" s="9"/>
    </row>
    <row r="165" spans="1:8" ht="27.6">
      <c r="A165" s="155" t="s">
        <v>728</v>
      </c>
      <c r="B165" s="155" t="s">
        <v>139</v>
      </c>
      <c r="C165" s="155" t="s">
        <v>22</v>
      </c>
      <c r="D165" s="155" t="s">
        <v>21</v>
      </c>
      <c r="E165" s="155" t="s">
        <v>729</v>
      </c>
      <c r="F165" s="155" t="s">
        <v>730</v>
      </c>
      <c r="G165" s="1"/>
    </row>
    <row r="166" spans="1:8" ht="13.8">
      <c r="A166" s="176"/>
      <c r="B166" s="157" t="s">
        <v>787</v>
      </c>
      <c r="C166" s="176"/>
      <c r="D166" s="176"/>
      <c r="E166" s="176"/>
      <c r="F166" s="176"/>
      <c r="G166" s="9"/>
    </row>
    <row r="167" spans="1:8" ht="13.8">
      <c r="A167" s="177"/>
      <c r="B167" s="159" t="s">
        <v>731</v>
      </c>
      <c r="C167" s="177"/>
      <c r="D167" s="177"/>
      <c r="E167" s="177"/>
      <c r="F167" s="177"/>
      <c r="G167" s="9"/>
    </row>
    <row r="168" spans="1:8" ht="13.8">
      <c r="A168" s="178">
        <v>1</v>
      </c>
      <c r="B168" s="32" t="s">
        <v>788</v>
      </c>
      <c r="C168" s="177"/>
      <c r="D168" s="177"/>
      <c r="E168" s="177"/>
      <c r="F168" s="177"/>
      <c r="G168" s="9"/>
    </row>
    <row r="169" spans="1:8" ht="13.8">
      <c r="A169" s="177"/>
      <c r="B169" s="177" t="s">
        <v>797</v>
      </c>
      <c r="C169" s="161" t="s">
        <v>772</v>
      </c>
      <c r="D169" s="179">
        <v>0.45</v>
      </c>
      <c r="E169" s="179">
        <f>3142/3</f>
        <v>1047.3333333333333</v>
      </c>
      <c r="F169" s="180">
        <f>D169*E169</f>
        <v>471.29999999999995</v>
      </c>
      <c r="G169" s="9" t="s">
        <v>773</v>
      </c>
      <c r="H169" s="207" t="s">
        <v>833</v>
      </c>
    </row>
    <row r="170" spans="1:8" ht="13.8">
      <c r="A170" s="177"/>
      <c r="B170" s="32" t="s">
        <v>828</v>
      </c>
      <c r="C170" s="161"/>
      <c r="D170" s="179"/>
      <c r="E170" s="179"/>
      <c r="F170" s="113"/>
      <c r="G170" s="9"/>
    </row>
    <row r="171" spans="1:8" ht="13.8">
      <c r="A171" s="177"/>
      <c r="B171" s="159" t="s">
        <v>789</v>
      </c>
      <c r="C171" s="177"/>
      <c r="D171" s="177"/>
      <c r="E171" s="177"/>
      <c r="F171" s="179">
        <f>F169*5%</f>
        <v>23.564999999999998</v>
      </c>
      <c r="G171" s="9"/>
    </row>
    <row r="172" spans="1:8" ht="13.8">
      <c r="A172" s="177"/>
      <c r="B172" s="159" t="s">
        <v>790</v>
      </c>
      <c r="C172" s="177"/>
      <c r="D172" s="177"/>
      <c r="E172" s="177"/>
      <c r="F172" s="177"/>
      <c r="G172" s="9"/>
    </row>
    <row r="173" spans="1:8" ht="13.8">
      <c r="A173" s="177">
        <v>2</v>
      </c>
      <c r="B173" s="159" t="s">
        <v>791</v>
      </c>
      <c r="C173" s="185" t="s">
        <v>792</v>
      </c>
      <c r="D173" s="186">
        <v>1</v>
      </c>
      <c r="E173" s="187">
        <v>709</v>
      </c>
      <c r="F173" s="180">
        <f>D173*E173</f>
        <v>709</v>
      </c>
      <c r="G173" s="9"/>
    </row>
    <row r="174" spans="1:8" ht="13.8">
      <c r="A174" s="177"/>
      <c r="B174" s="159" t="s">
        <v>826</v>
      </c>
      <c r="C174" s="185"/>
      <c r="D174" s="186"/>
      <c r="E174" s="187"/>
      <c r="F174" s="180"/>
      <c r="G174" s="9"/>
    </row>
    <row r="175" spans="1:8" ht="13.8">
      <c r="A175" s="178">
        <v>9999</v>
      </c>
      <c r="B175" s="159" t="s">
        <v>776</v>
      </c>
      <c r="C175" s="161" t="s">
        <v>741</v>
      </c>
      <c r="D175" s="179">
        <v>0.122</v>
      </c>
      <c r="E175" s="179">
        <v>2.27</v>
      </c>
      <c r="F175" s="180">
        <f>D175*E175</f>
        <v>0.27694000000000002</v>
      </c>
      <c r="G175" s="9"/>
    </row>
    <row r="176" spans="1:8" ht="13.8">
      <c r="A176" s="177"/>
      <c r="B176" s="159" t="s">
        <v>735</v>
      </c>
      <c r="C176" s="177"/>
      <c r="D176" s="177"/>
      <c r="E176" s="177"/>
      <c r="F176" s="177"/>
      <c r="G176" s="9"/>
    </row>
    <row r="177" spans="1:7" ht="13.8">
      <c r="A177" s="181">
        <v>116</v>
      </c>
      <c r="B177" s="159" t="s">
        <v>777</v>
      </c>
      <c r="C177" s="161" t="s">
        <v>737</v>
      </c>
      <c r="D177" s="179">
        <v>1.4E-2</v>
      </c>
      <c r="E177" s="179">
        <v>897</v>
      </c>
      <c r="F177" s="180">
        <f>D177*E177</f>
        <v>12.558</v>
      </c>
      <c r="G177" s="9"/>
    </row>
    <row r="178" spans="1:7" ht="13.8">
      <c r="A178" s="181">
        <v>117</v>
      </c>
      <c r="B178" s="159" t="s">
        <v>778</v>
      </c>
      <c r="C178" s="161" t="s">
        <v>737</v>
      </c>
      <c r="D178" s="179">
        <v>0.02</v>
      </c>
      <c r="E178" s="179">
        <v>816</v>
      </c>
      <c r="F178" s="180">
        <f>D178*E178</f>
        <v>16.32</v>
      </c>
      <c r="G178" s="9"/>
    </row>
    <row r="179" spans="1:7" ht="13.8">
      <c r="A179" s="177"/>
      <c r="B179" s="159" t="s">
        <v>742</v>
      </c>
      <c r="C179" s="177"/>
      <c r="D179" s="177"/>
      <c r="E179" s="177"/>
      <c r="F179" s="182">
        <f>SUM(F169:F178)</f>
        <v>1233.0199399999999</v>
      </c>
      <c r="G179" s="9" t="s">
        <v>748</v>
      </c>
    </row>
    <row r="180" spans="1:7" ht="13.8">
      <c r="A180" s="177"/>
      <c r="B180" s="159" t="s">
        <v>743</v>
      </c>
      <c r="C180" s="177"/>
      <c r="D180" s="177"/>
      <c r="E180" s="177"/>
      <c r="F180" s="179">
        <f>F179*1%</f>
        <v>12.3301994</v>
      </c>
      <c r="G180" s="9"/>
    </row>
    <row r="181" spans="1:7" ht="13.8">
      <c r="A181" s="177"/>
      <c r="B181" s="159" t="s">
        <v>742</v>
      </c>
      <c r="C181" s="177"/>
      <c r="D181" s="177"/>
      <c r="E181" s="177"/>
      <c r="F181" s="182">
        <f>SUM(F179:F180)</f>
        <v>1245.3501394</v>
      </c>
      <c r="G181" s="9" t="s">
        <v>749</v>
      </c>
    </row>
    <row r="182" spans="1:7" ht="13.8">
      <c r="A182" s="177"/>
      <c r="B182" s="159" t="s">
        <v>752</v>
      </c>
      <c r="C182" s="177"/>
      <c r="D182" s="177"/>
      <c r="E182" s="177"/>
      <c r="F182" s="179">
        <f>F181*0.2127</f>
        <v>264.88597465037998</v>
      </c>
      <c r="G182" s="9"/>
    </row>
    <row r="183" spans="1:7" ht="13.8">
      <c r="A183" s="177"/>
      <c r="B183" s="159" t="s">
        <v>742</v>
      </c>
      <c r="C183" s="177"/>
      <c r="D183" s="177"/>
      <c r="E183" s="177"/>
      <c r="F183" s="182">
        <f>SUM(F181:F182)</f>
        <v>1510.2361140503799</v>
      </c>
      <c r="G183" s="9" t="s">
        <v>750</v>
      </c>
    </row>
    <row r="184" spans="1:7" ht="13.8">
      <c r="A184" s="177"/>
      <c r="B184" s="159" t="s">
        <v>744</v>
      </c>
      <c r="C184" s="177"/>
      <c r="D184" s="177"/>
      <c r="E184" s="177"/>
      <c r="F184" s="179">
        <f>F183*15%</f>
        <v>226.53541710755698</v>
      </c>
      <c r="G184" s="9"/>
    </row>
    <row r="185" spans="1:7" ht="13.8">
      <c r="A185" s="177"/>
      <c r="B185" s="159" t="s">
        <v>742</v>
      </c>
      <c r="C185" s="177"/>
      <c r="D185" s="177"/>
      <c r="E185" s="177"/>
      <c r="F185" s="182">
        <f>SUM(F183:F184)</f>
        <v>1736.7715311579368</v>
      </c>
      <c r="G185" s="9" t="s">
        <v>751</v>
      </c>
    </row>
    <row r="186" spans="1:7" ht="13.8">
      <c r="A186" s="177"/>
      <c r="B186" s="159" t="s">
        <v>745</v>
      </c>
      <c r="C186" s="177"/>
      <c r="D186" s="177"/>
      <c r="E186" s="177"/>
      <c r="F186" s="179">
        <f>F185*1%</f>
        <v>17.367715311579367</v>
      </c>
      <c r="G186" s="9"/>
    </row>
    <row r="187" spans="1:7" ht="13.8">
      <c r="A187" s="177"/>
      <c r="B187" s="159" t="s">
        <v>793</v>
      </c>
      <c r="C187" s="177"/>
      <c r="D187" s="177"/>
      <c r="E187" s="177"/>
      <c r="F187" s="182">
        <f>SUM(F185:F186)</f>
        <v>1754.1392464695161</v>
      </c>
      <c r="G187" s="9"/>
    </row>
    <row r="188" spans="1:7" ht="13.8">
      <c r="A188" s="183"/>
      <c r="B188" s="167" t="s">
        <v>747</v>
      </c>
      <c r="C188" s="183"/>
      <c r="D188" s="183"/>
      <c r="E188" s="183"/>
      <c r="F188" s="184">
        <v>1517</v>
      </c>
      <c r="G188" s="9"/>
    </row>
    <row r="189" spans="1:7">
      <c r="A189" s="121"/>
    </row>
    <row r="190" spans="1:7">
      <c r="A190" s="121"/>
    </row>
    <row r="191" spans="1:7" ht="13.8">
      <c r="A191" s="9">
        <v>20</v>
      </c>
      <c r="B191" s="175" t="s">
        <v>803</v>
      </c>
      <c r="C191" s="9"/>
      <c r="D191" s="9"/>
      <c r="E191" s="9"/>
      <c r="F191" s="9"/>
      <c r="G191" s="9"/>
    </row>
    <row r="192" spans="1:7" ht="13.8">
      <c r="A192" s="9"/>
      <c r="B192" s="175"/>
      <c r="C192" s="9"/>
      <c r="D192" s="9"/>
      <c r="E192" s="9"/>
      <c r="F192" s="9"/>
      <c r="G192" s="9"/>
    </row>
    <row r="193" spans="1:7" ht="13.8">
      <c r="A193" s="9"/>
      <c r="B193" s="175"/>
      <c r="C193" s="9"/>
      <c r="D193" s="9"/>
      <c r="E193" s="9"/>
      <c r="F193" s="9"/>
      <c r="G193" s="9"/>
    </row>
    <row r="194" spans="1:7" ht="13.8">
      <c r="A194" s="9"/>
      <c r="B194" s="175"/>
      <c r="C194" s="9"/>
      <c r="D194" s="9"/>
      <c r="E194" s="9"/>
      <c r="F194" s="9"/>
      <c r="G194" s="9"/>
    </row>
    <row r="195" spans="1:7" ht="13.8">
      <c r="A195" s="9"/>
      <c r="B195" s="175"/>
      <c r="C195" s="9"/>
      <c r="D195" s="9"/>
      <c r="E195" s="9"/>
      <c r="F195" s="9"/>
      <c r="G195" s="9"/>
    </row>
    <row r="196" spans="1:7" ht="13.8">
      <c r="A196" s="9"/>
      <c r="B196" s="175"/>
      <c r="C196" s="9"/>
      <c r="D196" s="9"/>
      <c r="E196" s="9"/>
      <c r="F196" s="9"/>
      <c r="G196" s="9"/>
    </row>
    <row r="197" spans="1:7" ht="13.8">
      <c r="A197" s="9"/>
      <c r="B197" s="175"/>
      <c r="C197" s="9"/>
      <c r="D197" s="9"/>
      <c r="E197" s="9"/>
      <c r="F197" s="9"/>
      <c r="G197" s="9"/>
    </row>
    <row r="198" spans="1:7" ht="13.8">
      <c r="A198" s="9"/>
      <c r="B198" s="175"/>
      <c r="C198" s="9"/>
      <c r="D198" s="9"/>
      <c r="E198" s="9"/>
      <c r="F198" s="9"/>
      <c r="G198" s="9"/>
    </row>
    <row r="199" spans="1:7" ht="13.8">
      <c r="A199" s="9"/>
      <c r="B199" s="175"/>
      <c r="C199" s="9"/>
      <c r="D199" s="9"/>
      <c r="E199" s="9"/>
      <c r="F199" s="9"/>
      <c r="G199" s="9"/>
    </row>
    <row r="200" spans="1:7" ht="13.8">
      <c r="A200" s="9"/>
      <c r="B200" s="175"/>
      <c r="C200" s="9"/>
      <c r="D200" s="9"/>
      <c r="E200" s="9"/>
      <c r="F200" s="9"/>
      <c r="G200" s="9"/>
    </row>
    <row r="201" spans="1:7" ht="13.8">
      <c r="A201" s="9"/>
      <c r="B201" s="175"/>
      <c r="C201" s="9"/>
      <c r="D201" s="9"/>
      <c r="E201" s="9"/>
      <c r="F201" s="9"/>
      <c r="G201" s="9"/>
    </row>
    <row r="202" spans="1:7" ht="13.8">
      <c r="A202" s="9"/>
      <c r="B202" s="175"/>
      <c r="C202" s="9"/>
      <c r="D202" s="9"/>
      <c r="E202" s="9"/>
      <c r="F202" s="9"/>
      <c r="G202" s="9"/>
    </row>
    <row r="203" spans="1:7" ht="13.8">
      <c r="A203" s="9"/>
      <c r="B203" s="175"/>
      <c r="C203" s="9"/>
      <c r="D203" s="9"/>
      <c r="E203" s="9"/>
      <c r="F203" s="9"/>
      <c r="G203" s="9"/>
    </row>
    <row r="204" spans="1:7" ht="13.8">
      <c r="A204" s="9"/>
      <c r="B204" s="175"/>
      <c r="C204" s="9"/>
      <c r="D204" s="9"/>
      <c r="E204" s="9"/>
      <c r="F204" s="9"/>
      <c r="G204" s="9"/>
    </row>
    <row r="205" spans="1:7" ht="13.8">
      <c r="A205" s="9"/>
      <c r="B205" s="175"/>
      <c r="C205" s="9"/>
      <c r="D205" s="9"/>
      <c r="E205" s="9"/>
      <c r="F205" s="9"/>
      <c r="G205" s="9"/>
    </row>
    <row r="206" spans="1:7" ht="13.8">
      <c r="A206" s="9"/>
      <c r="B206" s="175"/>
      <c r="C206" s="9"/>
      <c r="D206" s="9"/>
      <c r="E206" s="9"/>
      <c r="F206" s="9"/>
      <c r="G206" s="9"/>
    </row>
    <row r="207" spans="1:7" ht="13.8">
      <c r="A207" s="9"/>
      <c r="B207" s="175"/>
      <c r="C207" s="9"/>
      <c r="D207" s="9"/>
      <c r="E207" s="9"/>
      <c r="F207" s="9"/>
      <c r="G207" s="9"/>
    </row>
    <row r="208" spans="1:7" ht="13.8">
      <c r="A208" s="9"/>
      <c r="B208" s="175"/>
      <c r="C208" s="9"/>
      <c r="D208" s="9"/>
      <c r="E208" s="9"/>
      <c r="F208" s="9"/>
      <c r="G208" s="9"/>
    </row>
    <row r="209" spans="1:7" ht="13.8">
      <c r="A209" s="9"/>
      <c r="B209" s="175"/>
      <c r="C209" s="9"/>
      <c r="D209" s="9"/>
      <c r="E209" s="9"/>
      <c r="F209" s="9"/>
      <c r="G209" s="9"/>
    </row>
    <row r="210" spans="1:7" ht="13.8">
      <c r="A210" s="9"/>
      <c r="B210" s="175"/>
      <c r="C210" s="9"/>
      <c r="D210" s="9"/>
      <c r="E210" s="9"/>
      <c r="F210" s="9"/>
      <c r="G210" s="9"/>
    </row>
    <row r="211" spans="1:7" ht="27.6">
      <c r="A211" s="155" t="s">
        <v>728</v>
      </c>
      <c r="B211" s="155" t="s">
        <v>139</v>
      </c>
      <c r="C211" s="155" t="s">
        <v>22</v>
      </c>
      <c r="D211" s="155" t="s">
        <v>21</v>
      </c>
      <c r="E211" s="155" t="s">
        <v>729</v>
      </c>
      <c r="F211" s="155" t="s">
        <v>730</v>
      </c>
      <c r="G211" s="1"/>
    </row>
    <row r="212" spans="1:7" ht="13.8">
      <c r="A212" s="176"/>
      <c r="B212" s="157" t="s">
        <v>769</v>
      </c>
      <c r="C212" s="176"/>
      <c r="D212" s="176"/>
      <c r="E212" s="176"/>
      <c r="F212" s="176"/>
      <c r="G212" s="9"/>
    </row>
    <row r="213" spans="1:7" ht="13.8">
      <c r="A213" s="177"/>
      <c r="B213" s="159" t="s">
        <v>731</v>
      </c>
      <c r="C213" s="177"/>
      <c r="D213" s="177"/>
      <c r="E213" s="177"/>
      <c r="F213" s="177"/>
      <c r="G213" s="9"/>
    </row>
    <row r="214" spans="1:7" ht="13.8">
      <c r="A214" s="178"/>
      <c r="B214" s="32" t="s">
        <v>719</v>
      </c>
      <c r="C214" s="177"/>
      <c r="D214" s="177"/>
      <c r="E214" s="177"/>
      <c r="F214" s="177"/>
      <c r="G214" s="9"/>
    </row>
    <row r="215" spans="1:7" ht="13.8">
      <c r="A215" s="177"/>
      <c r="B215" s="177" t="s">
        <v>804</v>
      </c>
      <c r="C215" s="161" t="s">
        <v>772</v>
      </c>
      <c r="D215" s="179">
        <v>10</v>
      </c>
      <c r="E215" s="179">
        <v>120</v>
      </c>
      <c r="F215" s="180">
        <f>D215*E215</f>
        <v>1200</v>
      </c>
      <c r="G215" s="9" t="s">
        <v>773</v>
      </c>
    </row>
    <row r="216" spans="1:7" ht="13.8">
      <c r="A216" s="177"/>
      <c r="B216" s="205" t="s">
        <v>829</v>
      </c>
      <c r="C216" s="161"/>
      <c r="D216" s="179"/>
      <c r="E216" s="179"/>
      <c r="F216" s="113"/>
      <c r="G216" s="9"/>
    </row>
    <row r="217" spans="1:7" ht="13.8">
      <c r="A217" s="177"/>
      <c r="B217" s="159" t="s">
        <v>774</v>
      </c>
      <c r="C217" s="177"/>
      <c r="D217" s="177"/>
      <c r="E217" s="177"/>
      <c r="F217" s="179">
        <f>F215*30%</f>
        <v>360</v>
      </c>
      <c r="G217" s="9"/>
    </row>
    <row r="218" spans="1:7" ht="13.8">
      <c r="A218" s="177"/>
      <c r="B218" s="159" t="s">
        <v>775</v>
      </c>
      <c r="C218" s="177"/>
      <c r="D218" s="177"/>
      <c r="E218" s="177"/>
      <c r="F218" s="177"/>
      <c r="G218" s="9"/>
    </row>
    <row r="219" spans="1:7" ht="13.8">
      <c r="A219" s="177"/>
      <c r="B219" s="159" t="s">
        <v>735</v>
      </c>
      <c r="C219" s="177"/>
      <c r="D219" s="177"/>
      <c r="E219" s="177"/>
      <c r="F219" s="177"/>
      <c r="G219" s="9"/>
    </row>
    <row r="220" spans="1:7" ht="13.8">
      <c r="A220" s="181">
        <v>116</v>
      </c>
      <c r="B220" s="159" t="s">
        <v>777</v>
      </c>
      <c r="C220" s="161" t="s">
        <v>737</v>
      </c>
      <c r="D220" s="179">
        <v>0.33</v>
      </c>
      <c r="E220" s="179">
        <v>897</v>
      </c>
      <c r="F220" s="180">
        <f>D220*E220</f>
        <v>296.01</v>
      </c>
      <c r="G220" s="9"/>
    </row>
    <row r="221" spans="1:7" ht="13.8">
      <c r="A221" s="181">
        <v>117</v>
      </c>
      <c r="B221" s="159" t="s">
        <v>778</v>
      </c>
      <c r="C221" s="161" t="s">
        <v>737</v>
      </c>
      <c r="D221" s="179">
        <v>0.66</v>
      </c>
      <c r="E221" s="179">
        <v>816</v>
      </c>
      <c r="F221" s="180">
        <f>D221*E221</f>
        <v>538.56000000000006</v>
      </c>
      <c r="G221" s="9"/>
    </row>
    <row r="222" spans="1:7" ht="13.8">
      <c r="A222" s="181">
        <v>114</v>
      </c>
      <c r="B222" s="159" t="s">
        <v>779</v>
      </c>
      <c r="C222" s="161" t="s">
        <v>737</v>
      </c>
      <c r="D222" s="179">
        <v>0.66</v>
      </c>
      <c r="E222" s="179">
        <v>736</v>
      </c>
      <c r="F222" s="180">
        <f>D222*E222</f>
        <v>485.76000000000005</v>
      </c>
      <c r="G222" s="9"/>
    </row>
    <row r="223" spans="1:7" ht="13.8">
      <c r="A223" s="177"/>
      <c r="B223" s="159" t="s">
        <v>742</v>
      </c>
      <c r="C223" s="177"/>
      <c r="D223" s="177"/>
      <c r="E223" s="177"/>
      <c r="F223" s="182">
        <f>SUM(F215:F222)</f>
        <v>2880.3300000000004</v>
      </c>
      <c r="G223" s="9" t="s">
        <v>748</v>
      </c>
    </row>
    <row r="224" spans="1:7" ht="13.8">
      <c r="A224" s="177"/>
      <c r="B224" s="159" t="s">
        <v>743</v>
      </c>
      <c r="C224" s="177"/>
      <c r="D224" s="177"/>
      <c r="E224" s="177"/>
      <c r="F224" s="179">
        <f>F223*1%</f>
        <v>28.803300000000004</v>
      </c>
      <c r="G224" s="9"/>
    </row>
    <row r="225" spans="1:7" ht="13.8">
      <c r="A225" s="177"/>
      <c r="B225" s="159" t="s">
        <v>742</v>
      </c>
      <c r="C225" s="177"/>
      <c r="D225" s="177"/>
      <c r="E225" s="177"/>
      <c r="F225" s="182">
        <f>SUM(F223:F224)</f>
        <v>2909.1333000000004</v>
      </c>
      <c r="G225" s="9" t="s">
        <v>749</v>
      </c>
    </row>
    <row r="226" spans="1:7" ht="13.8">
      <c r="A226" s="177"/>
      <c r="B226" s="159" t="s">
        <v>752</v>
      </c>
      <c r="C226" s="177"/>
      <c r="D226" s="177"/>
      <c r="E226" s="177"/>
      <c r="F226" s="179">
        <f>F225*0.2127</f>
        <v>618.77265291000003</v>
      </c>
      <c r="G226" s="9"/>
    </row>
    <row r="227" spans="1:7" ht="13.8">
      <c r="A227" s="177"/>
      <c r="B227" s="159" t="s">
        <v>742</v>
      </c>
      <c r="C227" s="177"/>
      <c r="D227" s="177"/>
      <c r="E227" s="177"/>
      <c r="F227" s="182">
        <f>SUM(F225:F226)</f>
        <v>3527.9059529100005</v>
      </c>
      <c r="G227" s="9" t="s">
        <v>750</v>
      </c>
    </row>
    <row r="228" spans="1:7" ht="13.8">
      <c r="A228" s="177"/>
      <c r="B228" s="159" t="s">
        <v>744</v>
      </c>
      <c r="C228" s="177"/>
      <c r="D228" s="177"/>
      <c r="E228" s="177"/>
      <c r="F228" s="179">
        <f>F227*15%</f>
        <v>529.18589293650007</v>
      </c>
      <c r="G228" s="9"/>
    </row>
    <row r="229" spans="1:7" ht="13.8">
      <c r="A229" s="177"/>
      <c r="B229" s="159" t="s">
        <v>742</v>
      </c>
      <c r="C229" s="177"/>
      <c r="D229" s="177"/>
      <c r="E229" s="177"/>
      <c r="F229" s="182">
        <f>SUM(F227:F228)</f>
        <v>4057.0918458465003</v>
      </c>
      <c r="G229" s="9" t="s">
        <v>751</v>
      </c>
    </row>
    <row r="230" spans="1:7" ht="13.8">
      <c r="A230" s="177"/>
      <c r="B230" s="159" t="s">
        <v>745</v>
      </c>
      <c r="C230" s="177"/>
      <c r="D230" s="177"/>
      <c r="E230" s="177"/>
      <c r="F230" s="179">
        <f>F229*1%</f>
        <v>40.570918458465002</v>
      </c>
      <c r="G230" s="9"/>
    </row>
    <row r="231" spans="1:7" ht="13.8">
      <c r="A231" s="177"/>
      <c r="B231" s="159" t="s">
        <v>780</v>
      </c>
      <c r="C231" s="177"/>
      <c r="D231" s="177"/>
      <c r="E231" s="177"/>
      <c r="F231" s="182">
        <f>SUM(F229:F230)</f>
        <v>4097.6627643049651</v>
      </c>
      <c r="G231" s="9"/>
    </row>
    <row r="232" spans="1:7" ht="13.8">
      <c r="A232" s="177"/>
      <c r="B232" s="159" t="s">
        <v>781</v>
      </c>
      <c r="C232" s="177"/>
      <c r="D232" s="177"/>
      <c r="E232" s="177"/>
      <c r="F232" s="179">
        <f>F231/10</f>
        <v>409.76627643049653</v>
      </c>
      <c r="G232" s="9"/>
    </row>
    <row r="233" spans="1:7" ht="13.8">
      <c r="A233" s="183"/>
      <c r="B233" s="167" t="s">
        <v>747</v>
      </c>
      <c r="C233" s="183"/>
      <c r="D233" s="183"/>
      <c r="E233" s="183"/>
      <c r="F233" s="184">
        <v>410</v>
      </c>
      <c r="G233" s="9"/>
    </row>
    <row r="234" spans="1:7" ht="13.8">
      <c r="A234" s="9"/>
      <c r="B234" s="9"/>
      <c r="C234" s="9"/>
      <c r="D234" s="9"/>
      <c r="E234" s="9"/>
      <c r="F234" s="9"/>
      <c r="G234" s="9"/>
    </row>
    <row r="235" spans="1:7">
      <c r="A235" s="121"/>
    </row>
    <row r="236" spans="1:7" ht="13.8">
      <c r="A236" s="120">
        <v>21</v>
      </c>
      <c r="B236" s="3" t="s">
        <v>807</v>
      </c>
      <c r="C236" s="9"/>
      <c r="D236" s="9"/>
      <c r="E236" s="9"/>
    </row>
    <row r="237" spans="1:7" ht="13.8">
      <c r="A237" s="120"/>
      <c r="B237" s="9" t="s">
        <v>808</v>
      </c>
      <c r="C237" s="9">
        <v>2300</v>
      </c>
      <c r="D237" s="9" t="s">
        <v>821</v>
      </c>
      <c r="E237" s="104" t="s">
        <v>809</v>
      </c>
    </row>
    <row r="238" spans="1:7" ht="13.8">
      <c r="A238" s="121"/>
      <c r="B238" s="9" t="s">
        <v>810</v>
      </c>
      <c r="C238" s="4">
        <f>C237*18%</f>
        <v>414</v>
      </c>
      <c r="D238" s="1" t="s">
        <v>822</v>
      </c>
      <c r="E238" s="104"/>
    </row>
    <row r="239" spans="1:7" ht="13.8">
      <c r="A239" s="121"/>
      <c r="B239" s="9"/>
      <c r="C239" s="4"/>
      <c r="D239" s="1"/>
      <c r="E239" s="9"/>
    </row>
    <row r="240" spans="1:7" ht="13.8">
      <c r="A240" s="121"/>
      <c r="B240" s="99" t="s">
        <v>11</v>
      </c>
      <c r="C240" s="122">
        <f>SUM(C237:C239)</f>
        <v>2714</v>
      </c>
      <c r="D240" s="50" t="s">
        <v>822</v>
      </c>
      <c r="E240" s="9"/>
    </row>
    <row r="241" spans="1:7" ht="14.4">
      <c r="A241" s="121"/>
      <c r="B241" s="75" t="s">
        <v>13</v>
      </c>
      <c r="C241" s="123">
        <f>ROUNDUP(C240,0)</f>
        <v>2714</v>
      </c>
      <c r="D241" s="28" t="s">
        <v>823</v>
      </c>
      <c r="E241" s="9"/>
      <c r="G241" s="206" t="s">
        <v>830</v>
      </c>
    </row>
    <row r="242" spans="1:7">
      <c r="A242" s="121"/>
    </row>
    <row r="243" spans="1:7">
      <c r="A243" s="121"/>
    </row>
    <row r="244" spans="1:7" ht="13.8">
      <c r="A244" s="120">
        <v>21</v>
      </c>
      <c r="B244" s="3" t="s">
        <v>814</v>
      </c>
      <c r="C244" s="9"/>
      <c r="D244" s="9"/>
      <c r="E244" s="9"/>
    </row>
    <row r="245" spans="1:7" ht="13.8">
      <c r="A245" s="120"/>
      <c r="B245" s="9" t="s">
        <v>816</v>
      </c>
      <c r="C245" s="118">
        <v>2</v>
      </c>
      <c r="D245" s="119">
        <v>563.5</v>
      </c>
      <c r="E245" s="9">
        <f>C245*D245</f>
        <v>1127</v>
      </c>
      <c r="F245" s="9" t="s">
        <v>820</v>
      </c>
      <c r="G245" s="104"/>
    </row>
    <row r="246" spans="1:7" ht="13.8">
      <c r="A246" s="120"/>
      <c r="B246" s="9" t="s">
        <v>815</v>
      </c>
      <c r="E246" s="9"/>
      <c r="F246" s="9"/>
      <c r="G246" s="104"/>
    </row>
    <row r="247" spans="1:7" ht="13.8">
      <c r="A247" s="120"/>
      <c r="B247" s="9" t="s">
        <v>818</v>
      </c>
      <c r="E247" s="9"/>
      <c r="F247" s="9"/>
      <c r="G247" s="104"/>
    </row>
    <row r="248" spans="1:7" ht="13.8">
      <c r="A248" s="120"/>
      <c r="B248" s="9" t="s">
        <v>817</v>
      </c>
      <c r="C248" s="118">
        <v>1</v>
      </c>
      <c r="D248" s="119">
        <v>449.55</v>
      </c>
      <c r="E248" s="9">
        <f>C248*D248</f>
        <v>449.55</v>
      </c>
      <c r="F248" s="9" t="s">
        <v>820</v>
      </c>
      <c r="G248" s="104"/>
    </row>
    <row r="249" spans="1:7" ht="13.8">
      <c r="A249" s="121"/>
      <c r="B249" s="9"/>
      <c r="E249" s="9"/>
      <c r="F249" s="9"/>
      <c r="G249" s="8"/>
    </row>
    <row r="250" spans="1:7" ht="13.8">
      <c r="A250" s="121"/>
      <c r="B250" s="99" t="s">
        <v>11</v>
      </c>
      <c r="C250" s="188"/>
      <c r="D250" s="189"/>
      <c r="E250" s="122">
        <f>SUM(E245:E249)</f>
        <v>1576.55</v>
      </c>
      <c r="F250" s="192" t="s">
        <v>820</v>
      </c>
      <c r="G250" s="9"/>
    </row>
    <row r="251" spans="1:7" ht="13.8">
      <c r="A251" s="121"/>
      <c r="B251" s="75" t="s">
        <v>13</v>
      </c>
      <c r="C251" s="190"/>
      <c r="D251" s="191"/>
      <c r="E251" s="123">
        <f>ROUNDUP(E250,0)</f>
        <v>1577</v>
      </c>
      <c r="F251" s="131" t="s">
        <v>820</v>
      </c>
      <c r="G251" s="9"/>
    </row>
    <row r="252" spans="1:7">
      <c r="A252" s="121"/>
    </row>
    <row r="253" spans="1:7">
      <c r="A253" s="121"/>
    </row>
    <row r="254" spans="1:7">
      <c r="A254" s="121"/>
    </row>
    <row r="255" spans="1:7">
      <c r="A255" s="121"/>
    </row>
    <row r="256" spans="1:7">
      <c r="A256" s="121"/>
    </row>
    <row r="257" spans="1:1">
      <c r="A257" s="121"/>
    </row>
    <row r="258" spans="1:1">
      <c r="A258" s="121"/>
    </row>
    <row r="259" spans="1:1">
      <c r="A259" s="121"/>
    </row>
    <row r="260" spans="1:1">
      <c r="A260" s="121"/>
    </row>
    <row r="261" spans="1:1">
      <c r="A261" s="121"/>
    </row>
    <row r="262" spans="1:1">
      <c r="A262" s="121"/>
    </row>
    <row r="263" spans="1:1">
      <c r="A263" s="121"/>
    </row>
    <row r="264" spans="1:1">
      <c r="A264" s="121"/>
    </row>
    <row r="265" spans="1:1">
      <c r="A265" s="121"/>
    </row>
    <row r="266" spans="1:1">
      <c r="A266" s="121"/>
    </row>
    <row r="267" spans="1:1">
      <c r="A267" s="121"/>
    </row>
    <row r="268" spans="1:1">
      <c r="A268" s="121"/>
    </row>
    <row r="269" spans="1:1">
      <c r="A269" s="121"/>
    </row>
    <row r="270" spans="1:1">
      <c r="A270" s="121"/>
    </row>
    <row r="271" spans="1:1">
      <c r="A271" s="121"/>
    </row>
    <row r="272" spans="1:1">
      <c r="A272" s="121"/>
    </row>
    <row r="273" spans="1:1">
      <c r="A273" s="121"/>
    </row>
    <row r="274" spans="1:1">
      <c r="A274" s="121"/>
    </row>
    <row r="275" spans="1:1">
      <c r="A275" s="121"/>
    </row>
    <row r="276" spans="1:1">
      <c r="A276" s="121"/>
    </row>
    <row r="277" spans="1:1">
      <c r="A277" s="121"/>
    </row>
    <row r="278" spans="1:1">
      <c r="A278" s="121"/>
    </row>
    <row r="279" spans="1:1">
      <c r="A279" s="121"/>
    </row>
    <row r="280" spans="1:1">
      <c r="A280" s="121"/>
    </row>
    <row r="281" spans="1:1">
      <c r="A281" s="121"/>
    </row>
    <row r="282" spans="1:1">
      <c r="A282" s="121"/>
    </row>
    <row r="283" spans="1:1">
      <c r="A283" s="121"/>
    </row>
    <row r="284" spans="1:1">
      <c r="A284" s="121"/>
    </row>
    <row r="285" spans="1:1">
      <c r="A285" s="121"/>
    </row>
    <row r="286" spans="1:1">
      <c r="A286" s="121"/>
    </row>
    <row r="287" spans="1:1">
      <c r="A287" s="121"/>
    </row>
    <row r="288" spans="1:1">
      <c r="A288" s="121"/>
    </row>
    <row r="289" spans="1:1">
      <c r="A289" s="121"/>
    </row>
    <row r="290" spans="1:1">
      <c r="A290" s="121"/>
    </row>
    <row r="291" spans="1:1">
      <c r="A291" s="121"/>
    </row>
    <row r="292" spans="1:1">
      <c r="A292" s="121"/>
    </row>
    <row r="293" spans="1:1">
      <c r="A293" s="121"/>
    </row>
    <row r="294" spans="1:1">
      <c r="A294" s="121"/>
    </row>
    <row r="295" spans="1:1">
      <c r="A295" s="121"/>
    </row>
    <row r="296" spans="1:1">
      <c r="A296" s="121"/>
    </row>
    <row r="297" spans="1:1">
      <c r="A297" s="121"/>
    </row>
    <row r="298" spans="1:1">
      <c r="A298" s="121"/>
    </row>
    <row r="299" spans="1:1">
      <c r="A299" s="121"/>
    </row>
    <row r="300" spans="1:1">
      <c r="A300" s="121"/>
    </row>
    <row r="301" spans="1:1">
      <c r="A301" s="121"/>
    </row>
    <row r="302" spans="1:1">
      <c r="A302" s="121"/>
    </row>
    <row r="303" spans="1:1">
      <c r="A303" s="121"/>
    </row>
    <row r="304" spans="1:1">
      <c r="A304" s="121"/>
    </row>
    <row r="305" spans="1:1">
      <c r="A305" s="121"/>
    </row>
    <row r="306" spans="1:1">
      <c r="A306" s="121"/>
    </row>
    <row r="307" spans="1:1">
      <c r="A307" s="121"/>
    </row>
    <row r="308" spans="1:1">
      <c r="A308" s="121"/>
    </row>
    <row r="309" spans="1:1">
      <c r="A309" s="121"/>
    </row>
    <row r="310" spans="1:1">
      <c r="A310" s="121"/>
    </row>
    <row r="311" spans="1:1">
      <c r="A311" s="121"/>
    </row>
    <row r="312" spans="1:1">
      <c r="A312" s="121"/>
    </row>
    <row r="313" spans="1:1">
      <c r="A313" s="121"/>
    </row>
    <row r="314" spans="1:1">
      <c r="A314" s="121"/>
    </row>
    <row r="315" spans="1:1">
      <c r="A315" s="121"/>
    </row>
    <row r="316" spans="1:1">
      <c r="A316" s="121"/>
    </row>
    <row r="317" spans="1:1">
      <c r="A317" s="121"/>
    </row>
    <row r="318" spans="1:1">
      <c r="A318" s="121"/>
    </row>
    <row r="319" spans="1:1">
      <c r="A319" s="121"/>
    </row>
    <row r="320" spans="1:1">
      <c r="A320" s="121"/>
    </row>
    <row r="321" spans="1:1">
      <c r="A321" s="121"/>
    </row>
    <row r="322" spans="1:1">
      <c r="A322" s="121"/>
    </row>
    <row r="323" spans="1:1">
      <c r="A323" s="121"/>
    </row>
    <row r="324" spans="1:1">
      <c r="A324" s="121"/>
    </row>
    <row r="325" spans="1:1">
      <c r="A325" s="121"/>
    </row>
    <row r="326" spans="1:1">
      <c r="A326" s="121"/>
    </row>
    <row r="327" spans="1:1">
      <c r="A327" s="121"/>
    </row>
    <row r="328" spans="1:1">
      <c r="A328" s="121"/>
    </row>
    <row r="329" spans="1:1">
      <c r="A329" s="121"/>
    </row>
    <row r="330" spans="1:1">
      <c r="A330" s="121"/>
    </row>
    <row r="331" spans="1:1">
      <c r="A331" s="121"/>
    </row>
    <row r="332" spans="1:1">
      <c r="A332" s="121"/>
    </row>
    <row r="333" spans="1:1">
      <c r="A333" s="121"/>
    </row>
    <row r="334" spans="1:1">
      <c r="A334" s="121"/>
    </row>
    <row r="335" spans="1:1">
      <c r="A335" s="121"/>
    </row>
    <row r="336" spans="1:1">
      <c r="A336" s="121"/>
    </row>
    <row r="337" spans="1:1">
      <c r="A337" s="121"/>
    </row>
    <row r="338" spans="1:1">
      <c r="A338" s="121"/>
    </row>
    <row r="339" spans="1:1">
      <c r="A339" s="121"/>
    </row>
    <row r="340" spans="1:1">
      <c r="A340" s="121"/>
    </row>
    <row r="341" spans="1:1">
      <c r="A341" s="121"/>
    </row>
    <row r="342" spans="1:1">
      <c r="A342" s="121"/>
    </row>
    <row r="343" spans="1:1">
      <c r="A343" s="121"/>
    </row>
    <row r="344" spans="1:1">
      <c r="A344" s="121"/>
    </row>
    <row r="345" spans="1:1">
      <c r="A345" s="121"/>
    </row>
    <row r="346" spans="1:1">
      <c r="A346" s="121"/>
    </row>
    <row r="347" spans="1:1">
      <c r="A347" s="121"/>
    </row>
    <row r="348" spans="1:1">
      <c r="A348" s="121"/>
    </row>
    <row r="349" spans="1:1">
      <c r="A349" s="121"/>
    </row>
    <row r="350" spans="1:1">
      <c r="A350" s="121"/>
    </row>
    <row r="351" spans="1:1">
      <c r="A351" s="121"/>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2504"/>
  <sheetViews>
    <sheetView zoomScale="130" zoomScaleNormal="130" workbookViewId="0">
      <selection activeCell="A1286" sqref="A1286"/>
    </sheetView>
  </sheetViews>
  <sheetFormatPr defaultColWidth="9.109375" defaultRowHeight="13.8"/>
  <cols>
    <col min="1" max="1" width="5.44140625" style="31" customWidth="1"/>
    <col min="2" max="2" width="24.33203125" style="31" customWidth="1"/>
    <col min="3" max="3" width="6.6640625" style="57" customWidth="1"/>
    <col min="4" max="4" width="9.33203125" style="57" customWidth="1"/>
    <col min="5" max="5" width="9.44140625" style="57" bestFit="1" customWidth="1"/>
    <col min="6" max="6" width="11.6640625" style="57" customWidth="1"/>
    <col min="7" max="7" width="11.33203125" style="31" bestFit="1" customWidth="1"/>
    <col min="8" max="8" width="6" style="57" customWidth="1"/>
    <col min="9" max="9" width="17.109375" style="31" customWidth="1"/>
    <col min="10" max="10" width="11.6640625" style="9" customWidth="1"/>
    <col min="11" max="11" width="9.109375" style="9"/>
    <col min="12" max="16384" width="9.109375" style="31"/>
  </cols>
  <sheetData>
    <row r="1" spans="1:12">
      <c r="B1" s="15" t="s">
        <v>134</v>
      </c>
    </row>
    <row r="2" spans="1:12">
      <c r="B2" s="15"/>
    </row>
    <row r="3" spans="1:12">
      <c r="A3" s="77" t="s">
        <v>0</v>
      </c>
      <c r="B3" s="78" t="s">
        <v>1</v>
      </c>
      <c r="C3" s="78" t="s">
        <v>2</v>
      </c>
      <c r="D3" s="78" t="s">
        <v>3</v>
      </c>
      <c r="E3" s="78" t="s">
        <v>4</v>
      </c>
      <c r="F3" s="78" t="s">
        <v>5</v>
      </c>
      <c r="G3" s="78" t="s">
        <v>6</v>
      </c>
      <c r="H3" s="78" t="s">
        <v>7</v>
      </c>
      <c r="I3" s="9"/>
    </row>
    <row r="4" spans="1:12">
      <c r="A4" s="44"/>
      <c r="B4" s="24"/>
      <c r="C4" s="24"/>
      <c r="D4" s="24"/>
      <c r="E4" s="24"/>
      <c r="F4" s="24"/>
      <c r="G4" s="24"/>
      <c r="H4" s="24"/>
      <c r="I4" s="9"/>
    </row>
    <row r="5" spans="1:12" ht="27.6">
      <c r="A5" s="18">
        <v>1</v>
      </c>
      <c r="B5" s="6" t="s">
        <v>76</v>
      </c>
      <c r="C5" s="1"/>
      <c r="D5" s="5"/>
      <c r="E5" s="5"/>
      <c r="F5" s="5"/>
      <c r="G5" s="4"/>
      <c r="H5" s="1"/>
      <c r="I5" s="9"/>
    </row>
    <row r="6" spans="1:12">
      <c r="A6" s="18"/>
      <c r="B6" s="46" t="s">
        <v>421</v>
      </c>
      <c r="C6" s="1">
        <v>1</v>
      </c>
      <c r="D6" s="5">
        <v>43.5</v>
      </c>
      <c r="E6" s="5">
        <v>25</v>
      </c>
      <c r="F6" s="5">
        <v>1.5</v>
      </c>
      <c r="G6" s="4">
        <f>C6*D6*E6*F6</f>
        <v>1631.25</v>
      </c>
      <c r="H6" s="1" t="s">
        <v>12</v>
      </c>
      <c r="I6" s="9"/>
    </row>
    <row r="7" spans="1:12">
      <c r="A7" s="18"/>
      <c r="B7" s="8"/>
      <c r="C7" s="1"/>
      <c r="D7" s="1"/>
      <c r="E7" s="1"/>
      <c r="F7" s="56" t="s">
        <v>13</v>
      </c>
      <c r="G7" s="27">
        <f>ROUNDUP(G6,0)</f>
        <v>1632</v>
      </c>
      <c r="H7" s="28" t="s">
        <v>9</v>
      </c>
      <c r="I7" s="9"/>
    </row>
    <row r="8" spans="1:12">
      <c r="A8" s="44"/>
      <c r="B8" s="24"/>
      <c r="C8" s="24"/>
      <c r="D8" s="24"/>
      <c r="E8" s="24"/>
      <c r="F8" s="24"/>
      <c r="G8" s="24"/>
      <c r="H8" s="24"/>
      <c r="I8" s="9"/>
    </row>
    <row r="9" spans="1:12" ht="27.6">
      <c r="A9" s="18">
        <f>A5+1</f>
        <v>2</v>
      </c>
      <c r="B9" s="6" t="s">
        <v>77</v>
      </c>
      <c r="C9" s="1"/>
      <c r="D9" s="5"/>
      <c r="E9" s="5"/>
      <c r="F9" s="5"/>
      <c r="G9" s="4"/>
      <c r="H9" s="1"/>
      <c r="I9" s="9"/>
      <c r="L9" s="31" t="s">
        <v>422</v>
      </c>
    </row>
    <row r="10" spans="1:12">
      <c r="A10" s="18"/>
      <c r="B10" s="46" t="s">
        <v>421</v>
      </c>
      <c r="C10" s="1">
        <v>1</v>
      </c>
      <c r="D10" s="5">
        <v>43</v>
      </c>
      <c r="E10" s="5">
        <v>25</v>
      </c>
      <c r="F10" s="5">
        <v>1</v>
      </c>
      <c r="G10" s="4">
        <f>C10*D10*E10*F10</f>
        <v>1075</v>
      </c>
      <c r="H10" s="1" t="s">
        <v>12</v>
      </c>
      <c r="I10" s="9"/>
    </row>
    <row r="11" spans="1:12">
      <c r="A11" s="44"/>
      <c r="B11" s="24"/>
      <c r="C11" s="24"/>
      <c r="D11" s="24"/>
      <c r="E11" s="24"/>
      <c r="F11" s="56" t="s">
        <v>13</v>
      </c>
      <c r="G11" s="27">
        <f>ROUNDUP(G10,0)</f>
        <v>1075</v>
      </c>
      <c r="H11" s="28" t="s">
        <v>9</v>
      </c>
      <c r="I11" s="9"/>
    </row>
    <row r="12" spans="1:12">
      <c r="A12" s="44"/>
      <c r="B12" s="24"/>
      <c r="C12" s="24"/>
      <c r="D12" s="24"/>
      <c r="E12" s="24"/>
      <c r="F12" s="1"/>
      <c r="G12" s="33"/>
      <c r="H12" s="24"/>
      <c r="I12" s="9"/>
    </row>
    <row r="13" spans="1:12">
      <c r="A13" s="18"/>
      <c r="B13" s="8" t="s">
        <v>14</v>
      </c>
      <c r="C13" s="1"/>
      <c r="D13" s="1"/>
      <c r="E13" s="1"/>
      <c r="F13" s="1"/>
      <c r="G13" s="1"/>
      <c r="H13" s="1"/>
    </row>
    <row r="14" spans="1:12">
      <c r="A14" s="18"/>
      <c r="B14" s="46" t="s">
        <v>549</v>
      </c>
      <c r="C14" s="1">
        <v>1</v>
      </c>
      <c r="D14" s="5">
        <v>43.5</v>
      </c>
      <c r="E14" s="5">
        <v>25</v>
      </c>
      <c r="F14" s="5">
        <v>1.5</v>
      </c>
      <c r="G14" s="4">
        <f>C14*D14*E14*F14</f>
        <v>1631.25</v>
      </c>
      <c r="H14" s="1" t="s">
        <v>12</v>
      </c>
    </row>
    <row r="15" spans="1:12" ht="27.6">
      <c r="A15" s="18"/>
      <c r="B15" s="32" t="s">
        <v>550</v>
      </c>
      <c r="C15" s="1"/>
      <c r="D15" s="1"/>
      <c r="E15" s="1"/>
      <c r="F15" s="1"/>
      <c r="G15" s="4">
        <f>-(G48+G47+G46+G45+G44+G43+G42+G162+G169+G170+G171+G172+G173+G174+G175)</f>
        <v>-463.28161</v>
      </c>
      <c r="H15" s="1"/>
    </row>
    <row r="16" spans="1:12">
      <c r="A16" s="18"/>
      <c r="B16" s="46" t="s">
        <v>15</v>
      </c>
      <c r="C16" s="1">
        <v>1</v>
      </c>
      <c r="D16" s="5">
        <v>985</v>
      </c>
      <c r="E16" s="5" t="s">
        <v>47</v>
      </c>
      <c r="F16" s="5">
        <f>0.55+1.2</f>
        <v>1.75</v>
      </c>
      <c r="G16" s="4">
        <f>C16*D16*F16</f>
        <v>1723.75</v>
      </c>
      <c r="H16" s="1" t="s">
        <v>12</v>
      </c>
    </row>
    <row r="17" spans="1:10">
      <c r="A17" s="18"/>
      <c r="B17" s="46" t="s">
        <v>80</v>
      </c>
      <c r="C17" s="1">
        <v>1</v>
      </c>
      <c r="D17" s="5">
        <v>28.5</v>
      </c>
      <c r="E17" s="5">
        <v>5.09</v>
      </c>
      <c r="F17" s="5">
        <v>1.85</v>
      </c>
      <c r="G17" s="4">
        <f>C17*D17*E17*F17</f>
        <v>268.37025</v>
      </c>
      <c r="H17" s="1" t="s">
        <v>10</v>
      </c>
    </row>
    <row r="18" spans="1:10">
      <c r="A18" s="18"/>
      <c r="B18" s="46"/>
      <c r="C18" s="1">
        <v>1</v>
      </c>
      <c r="D18" s="5">
        <v>3.23</v>
      </c>
      <c r="E18" s="5">
        <v>4.2699999999999996</v>
      </c>
      <c r="F18" s="5">
        <v>1.85</v>
      </c>
      <c r="G18" s="4">
        <f>C18*D18*E18*F18</f>
        <v>25.515384999999998</v>
      </c>
      <c r="H18" s="1"/>
    </row>
    <row r="19" spans="1:10">
      <c r="A19" s="18"/>
      <c r="B19" s="46"/>
      <c r="C19" s="1"/>
      <c r="D19" s="5"/>
      <c r="E19" s="5"/>
      <c r="F19" s="5"/>
      <c r="G19" s="4"/>
      <c r="H19" s="1"/>
    </row>
    <row r="20" spans="1:10">
      <c r="A20" s="18"/>
      <c r="B20" s="8"/>
      <c r="C20" s="1"/>
      <c r="D20" s="1"/>
      <c r="E20" s="1"/>
      <c r="F20" s="50" t="s">
        <v>11</v>
      </c>
      <c r="G20" s="53">
        <f>SUM(G14:G19)</f>
        <v>3185.6040250000001</v>
      </c>
      <c r="H20" s="50" t="s">
        <v>12</v>
      </c>
      <c r="J20" s="4"/>
    </row>
    <row r="21" spans="1:10">
      <c r="A21" s="18"/>
      <c r="B21" s="44"/>
      <c r="C21" s="1"/>
      <c r="D21" s="1"/>
      <c r="E21" s="1"/>
      <c r="F21" s="56" t="s">
        <v>13</v>
      </c>
      <c r="G21" s="27">
        <f>ROUNDUP(G20,0)</f>
        <v>3186</v>
      </c>
      <c r="H21" s="28" t="s">
        <v>9</v>
      </c>
    </row>
    <row r="22" spans="1:10">
      <c r="A22" s="18"/>
      <c r="B22" s="44"/>
      <c r="C22" s="1"/>
      <c r="D22" s="1"/>
      <c r="E22" s="1"/>
      <c r="F22" s="1"/>
      <c r="G22" s="33"/>
      <c r="H22" s="24"/>
    </row>
    <row r="23" spans="1:10">
      <c r="A23" s="18">
        <f>A9+1</f>
        <v>3</v>
      </c>
      <c r="B23" s="8" t="s">
        <v>78</v>
      </c>
      <c r="C23" s="1"/>
      <c r="D23" s="5"/>
      <c r="E23" s="5"/>
      <c r="F23" s="1"/>
      <c r="G23" s="33">
        <f>G7+G11</f>
        <v>2707</v>
      </c>
      <c r="H23" s="24" t="s">
        <v>12</v>
      </c>
    </row>
    <row r="24" spans="1:10">
      <c r="A24" s="18"/>
      <c r="B24" s="44"/>
      <c r="C24" s="1"/>
      <c r="D24" s="1"/>
      <c r="E24" s="1"/>
      <c r="F24" s="1"/>
      <c r="G24" s="33"/>
      <c r="H24" s="24"/>
    </row>
    <row r="25" spans="1:10">
      <c r="A25" s="18">
        <f>A23+1</f>
        <v>4</v>
      </c>
      <c r="B25" s="8" t="s">
        <v>35</v>
      </c>
      <c r="C25" s="1"/>
      <c r="D25" s="5"/>
      <c r="E25" s="5"/>
      <c r="F25" s="1"/>
      <c r="G25" s="33">
        <f>G21-G23</f>
        <v>479</v>
      </c>
      <c r="H25" s="24" t="s">
        <v>12</v>
      </c>
    </row>
    <row r="26" spans="1:10">
      <c r="A26" s="18"/>
      <c r="B26" s="8"/>
      <c r="C26" s="1"/>
      <c r="D26" s="5"/>
      <c r="E26" s="5"/>
      <c r="F26" s="1"/>
      <c r="G26" s="33"/>
      <c r="H26" s="24"/>
    </row>
    <row r="27" spans="1:10">
      <c r="A27" s="66"/>
    </row>
    <row r="28" spans="1:10">
      <c r="A28" s="18">
        <f>A25+1</f>
        <v>5</v>
      </c>
      <c r="B28" s="9" t="s">
        <v>36</v>
      </c>
      <c r="C28" s="1"/>
      <c r="D28" s="5"/>
      <c r="E28" s="5"/>
      <c r="F28" s="5"/>
      <c r="G28" s="4"/>
      <c r="H28" s="1"/>
      <c r="I28" s="67"/>
    </row>
    <row r="29" spans="1:10">
      <c r="A29" s="18"/>
      <c r="B29" s="9"/>
      <c r="C29" s="1">
        <v>5</v>
      </c>
      <c r="D29" s="5">
        <v>38.25</v>
      </c>
      <c r="E29" s="5">
        <v>2.6</v>
      </c>
      <c r="F29" s="5">
        <v>0.2</v>
      </c>
      <c r="G29" s="4">
        <f>C29*D29*F29*E29</f>
        <v>99.45</v>
      </c>
      <c r="H29" s="1" t="s">
        <v>12</v>
      </c>
      <c r="I29" s="67"/>
    </row>
    <row r="30" spans="1:10">
      <c r="A30" s="18"/>
      <c r="B30" s="9"/>
      <c r="C30" s="1">
        <v>2</v>
      </c>
      <c r="D30" s="5">
        <v>24.95</v>
      </c>
      <c r="E30" s="5">
        <v>2.6</v>
      </c>
      <c r="F30" s="5">
        <v>0.2</v>
      </c>
      <c r="G30" s="4">
        <f t="shared" ref="G30:G35" si="0">C30*D30*F30*E30</f>
        <v>25.948</v>
      </c>
      <c r="H30" s="1" t="s">
        <v>10</v>
      </c>
      <c r="I30" s="67"/>
    </row>
    <row r="31" spans="1:10">
      <c r="A31" s="18"/>
      <c r="B31" s="9"/>
      <c r="C31" s="1">
        <v>1</v>
      </c>
      <c r="D31" s="5">
        <v>9.9250000000000007</v>
      </c>
      <c r="E31" s="5">
        <v>2.6</v>
      </c>
      <c r="F31" s="5">
        <v>0.2</v>
      </c>
      <c r="G31" s="4">
        <f t="shared" si="0"/>
        <v>5.1610000000000014</v>
      </c>
      <c r="H31" s="1" t="s">
        <v>10</v>
      </c>
      <c r="I31" s="67"/>
    </row>
    <row r="32" spans="1:10">
      <c r="A32" s="18"/>
      <c r="B32" s="9"/>
      <c r="C32" s="1">
        <v>1</v>
      </c>
      <c r="D32" s="5">
        <v>10.324999999999999</v>
      </c>
      <c r="E32" s="5">
        <v>2.6</v>
      </c>
      <c r="F32" s="5">
        <v>0.2</v>
      </c>
      <c r="G32" s="4">
        <f t="shared" si="0"/>
        <v>5.3689999999999998</v>
      </c>
      <c r="H32" s="1" t="s">
        <v>10</v>
      </c>
      <c r="I32" s="67"/>
    </row>
    <row r="33" spans="1:9">
      <c r="A33" s="18"/>
      <c r="B33" s="9"/>
      <c r="C33" s="1">
        <v>1</v>
      </c>
      <c r="D33" s="5">
        <v>5.53</v>
      </c>
      <c r="E33" s="5">
        <v>2.1</v>
      </c>
      <c r="F33" s="5">
        <v>0.2</v>
      </c>
      <c r="G33" s="4">
        <f t="shared" si="0"/>
        <v>2.3226000000000004</v>
      </c>
      <c r="H33" s="1" t="s">
        <v>10</v>
      </c>
      <c r="I33" s="67"/>
    </row>
    <row r="34" spans="1:9">
      <c r="A34" s="18"/>
      <c r="B34" s="9"/>
      <c r="C34" s="1">
        <v>1</v>
      </c>
      <c r="D34" s="5">
        <v>7.375</v>
      </c>
      <c r="E34" s="5">
        <v>2.1</v>
      </c>
      <c r="F34" s="5">
        <v>0.2</v>
      </c>
      <c r="G34" s="4">
        <f t="shared" si="0"/>
        <v>3.0975000000000001</v>
      </c>
      <c r="H34" s="1" t="s">
        <v>10</v>
      </c>
      <c r="I34" s="67"/>
    </row>
    <row r="35" spans="1:9">
      <c r="A35" s="18"/>
      <c r="B35" s="9"/>
      <c r="C35" s="1">
        <v>1</v>
      </c>
      <c r="D35" s="5">
        <v>7.45</v>
      </c>
      <c r="E35" s="5">
        <v>2.6</v>
      </c>
      <c r="F35" s="5">
        <v>0.2</v>
      </c>
      <c r="G35" s="4">
        <f t="shared" si="0"/>
        <v>3.8740000000000006</v>
      </c>
      <c r="H35" s="1" t="s">
        <v>10</v>
      </c>
      <c r="I35" s="67"/>
    </row>
    <row r="36" spans="1:9">
      <c r="A36" s="18"/>
      <c r="B36" s="46" t="s">
        <v>423</v>
      </c>
      <c r="C36" s="1">
        <v>1</v>
      </c>
      <c r="D36" s="5">
        <v>985</v>
      </c>
      <c r="E36" s="5" t="s">
        <v>47</v>
      </c>
      <c r="F36" s="5">
        <v>0.15</v>
      </c>
      <c r="G36" s="4">
        <f>C36*D36*F36</f>
        <v>147.75</v>
      </c>
      <c r="H36" s="1" t="s">
        <v>12</v>
      </c>
      <c r="I36" s="67"/>
    </row>
    <row r="37" spans="1:9">
      <c r="A37" s="18"/>
      <c r="B37" s="46"/>
      <c r="C37" s="1"/>
      <c r="D37" s="5"/>
      <c r="E37" s="5"/>
      <c r="F37" s="5"/>
      <c r="G37" s="4"/>
      <c r="H37" s="1"/>
      <c r="I37" s="67"/>
    </row>
    <row r="38" spans="1:9">
      <c r="A38" s="18"/>
      <c r="B38" s="8"/>
      <c r="C38" s="1"/>
      <c r="D38" s="1"/>
      <c r="E38" s="1"/>
      <c r="F38" s="50" t="s">
        <v>11</v>
      </c>
      <c r="G38" s="53">
        <f>SUM(G29:G37)</f>
        <v>292.97209999999995</v>
      </c>
      <c r="H38" s="50" t="s">
        <v>12</v>
      </c>
    </row>
    <row r="39" spans="1:9">
      <c r="A39" s="17"/>
      <c r="B39" s="8"/>
      <c r="F39" s="56" t="s">
        <v>13</v>
      </c>
      <c r="G39" s="27">
        <f>ROUNDUP(G38,0)</f>
        <v>293</v>
      </c>
      <c r="H39" s="28" t="s">
        <v>9</v>
      </c>
    </row>
    <row r="40" spans="1:9">
      <c r="A40" s="17"/>
      <c r="B40" s="8"/>
      <c r="F40" s="1"/>
      <c r="G40" s="33"/>
      <c r="H40" s="24"/>
    </row>
    <row r="41" spans="1:9">
      <c r="A41" s="18">
        <f>A28+1</f>
        <v>6</v>
      </c>
      <c r="B41" s="9" t="s">
        <v>37</v>
      </c>
      <c r="C41" s="1"/>
      <c r="D41" s="5"/>
      <c r="E41" s="5"/>
      <c r="F41" s="5"/>
      <c r="G41" s="4"/>
      <c r="H41" s="1"/>
      <c r="I41" s="9"/>
    </row>
    <row r="42" spans="1:9">
      <c r="A42" s="18" t="s">
        <v>394</v>
      </c>
      <c r="B42" s="46" t="s">
        <v>8</v>
      </c>
      <c r="C42" s="1">
        <v>5</v>
      </c>
      <c r="D42" s="5">
        <v>38.25</v>
      </c>
      <c r="E42" s="5">
        <f>E29</f>
        <v>2.6</v>
      </c>
      <c r="F42" s="5">
        <v>0.15</v>
      </c>
      <c r="G42" s="4">
        <f>C42*D42*E42*F42</f>
        <v>74.587499999999991</v>
      </c>
      <c r="H42" s="1" t="s">
        <v>12</v>
      </c>
      <c r="I42" s="9"/>
    </row>
    <row r="43" spans="1:9">
      <c r="A43" s="18"/>
      <c r="B43" s="46"/>
      <c r="C43" s="1">
        <v>2</v>
      </c>
      <c r="D43" s="5">
        <v>24.95</v>
      </c>
      <c r="E43" s="5">
        <f t="shared" ref="E43:E48" si="1">E30</f>
        <v>2.6</v>
      </c>
      <c r="F43" s="5">
        <v>0.15</v>
      </c>
      <c r="G43" s="4">
        <f t="shared" ref="G43:G48" si="2">C43*D43*E43*F43</f>
        <v>19.461000000000002</v>
      </c>
      <c r="H43" s="1" t="s">
        <v>10</v>
      </c>
      <c r="I43" s="9"/>
    </row>
    <row r="44" spans="1:9">
      <c r="A44" s="18"/>
      <c r="B44" s="46"/>
      <c r="C44" s="1">
        <v>1</v>
      </c>
      <c r="D44" s="5">
        <v>9.9250000000000007</v>
      </c>
      <c r="E44" s="5">
        <f t="shared" si="1"/>
        <v>2.6</v>
      </c>
      <c r="F44" s="5">
        <v>0.15</v>
      </c>
      <c r="G44" s="4">
        <f t="shared" si="2"/>
        <v>3.8707500000000001</v>
      </c>
      <c r="H44" s="1" t="s">
        <v>10</v>
      </c>
      <c r="I44" s="9"/>
    </row>
    <row r="45" spans="1:9">
      <c r="A45" s="18"/>
      <c r="B45" s="46"/>
      <c r="C45" s="1">
        <v>1</v>
      </c>
      <c r="D45" s="5">
        <v>10.324999999999999</v>
      </c>
      <c r="E45" s="5">
        <f t="shared" si="1"/>
        <v>2.6</v>
      </c>
      <c r="F45" s="5">
        <v>0.15</v>
      </c>
      <c r="G45" s="4">
        <f t="shared" si="2"/>
        <v>4.0267499999999998</v>
      </c>
      <c r="H45" s="1" t="s">
        <v>10</v>
      </c>
      <c r="I45" s="9"/>
    </row>
    <row r="46" spans="1:9">
      <c r="A46" s="18"/>
      <c r="B46" s="46"/>
      <c r="C46" s="1">
        <v>1</v>
      </c>
      <c r="D46" s="5">
        <v>5.53</v>
      </c>
      <c r="E46" s="5">
        <f t="shared" si="1"/>
        <v>2.1</v>
      </c>
      <c r="F46" s="5">
        <v>0.15</v>
      </c>
      <c r="G46" s="4">
        <f t="shared" si="2"/>
        <v>1.7419500000000001</v>
      </c>
      <c r="H46" s="1" t="s">
        <v>10</v>
      </c>
      <c r="I46" s="9"/>
    </row>
    <row r="47" spans="1:9">
      <c r="A47" s="18"/>
      <c r="B47" s="46"/>
      <c r="C47" s="1">
        <v>1</v>
      </c>
      <c r="D47" s="5">
        <v>7.375</v>
      </c>
      <c r="E47" s="5">
        <f t="shared" si="1"/>
        <v>2.1</v>
      </c>
      <c r="F47" s="5">
        <v>0.15</v>
      </c>
      <c r="G47" s="4">
        <f t="shared" si="2"/>
        <v>2.3231250000000001</v>
      </c>
      <c r="H47" s="1" t="s">
        <v>10</v>
      </c>
      <c r="I47" s="9"/>
    </row>
    <row r="48" spans="1:9">
      <c r="A48" s="18"/>
      <c r="B48" s="46"/>
      <c r="C48" s="1">
        <v>1</v>
      </c>
      <c r="D48" s="5">
        <v>7.45</v>
      </c>
      <c r="E48" s="5">
        <f t="shared" si="1"/>
        <v>2.6</v>
      </c>
      <c r="F48" s="5">
        <v>0.15</v>
      </c>
      <c r="G48" s="4">
        <f t="shared" si="2"/>
        <v>2.9055</v>
      </c>
      <c r="H48" s="1" t="s">
        <v>10</v>
      </c>
      <c r="I48" s="9"/>
    </row>
    <row r="49" spans="1:9">
      <c r="A49" s="18"/>
      <c r="B49" s="46" t="s">
        <v>16</v>
      </c>
      <c r="C49" s="1">
        <v>1</v>
      </c>
      <c r="D49" s="5">
        <v>985</v>
      </c>
      <c r="E49" s="5" t="s">
        <v>47</v>
      </c>
      <c r="F49" s="5">
        <v>0.1</v>
      </c>
      <c r="G49" s="4">
        <f>C49*D49*F49</f>
        <v>98.5</v>
      </c>
      <c r="H49" s="1" t="s">
        <v>10</v>
      </c>
      <c r="I49" s="9"/>
    </row>
    <row r="50" spans="1:9">
      <c r="A50" s="18"/>
      <c r="B50" s="46" t="s">
        <v>424</v>
      </c>
      <c r="C50" s="1"/>
      <c r="D50" s="5"/>
      <c r="E50" s="5"/>
      <c r="F50" s="5"/>
      <c r="G50" s="4"/>
      <c r="H50" s="1"/>
      <c r="I50" s="9"/>
    </row>
    <row r="51" spans="1:9">
      <c r="A51" s="18"/>
      <c r="B51" s="46" t="s">
        <v>425</v>
      </c>
      <c r="C51" s="1">
        <v>7</v>
      </c>
      <c r="D51" s="5">
        <v>5.2</v>
      </c>
      <c r="E51" s="5">
        <v>0.23</v>
      </c>
      <c r="F51" s="5">
        <v>0.1</v>
      </c>
      <c r="G51" s="4">
        <f>C51*D51*E51*F51</f>
        <v>0.83720000000000006</v>
      </c>
      <c r="H51" s="1" t="s">
        <v>10</v>
      </c>
      <c r="I51" s="9"/>
    </row>
    <row r="52" spans="1:9">
      <c r="A52" s="18"/>
      <c r="B52" s="46" t="s">
        <v>426</v>
      </c>
      <c r="C52" s="1">
        <v>6</v>
      </c>
      <c r="D52" s="5">
        <v>5.2</v>
      </c>
      <c r="E52" s="5">
        <v>0.23</v>
      </c>
      <c r="F52" s="5">
        <v>0.1</v>
      </c>
      <c r="G52" s="4">
        <f t="shared" ref="G52:G69" si="3">C52*D52*E52*F52</f>
        <v>0.71760000000000013</v>
      </c>
      <c r="H52" s="1" t="s">
        <v>10</v>
      </c>
      <c r="I52" s="9"/>
    </row>
    <row r="53" spans="1:9">
      <c r="A53" s="18"/>
      <c r="B53" s="46" t="s">
        <v>427</v>
      </c>
      <c r="C53" s="1">
        <v>5</v>
      </c>
      <c r="D53" s="5">
        <v>5.2</v>
      </c>
      <c r="E53" s="5">
        <v>0.23</v>
      </c>
      <c r="F53" s="5">
        <v>0.1</v>
      </c>
      <c r="G53" s="4">
        <f t="shared" si="3"/>
        <v>0.59800000000000009</v>
      </c>
      <c r="H53" s="1" t="s">
        <v>10</v>
      </c>
      <c r="I53" s="9"/>
    </row>
    <row r="54" spans="1:9">
      <c r="A54" s="18"/>
      <c r="B54" s="46" t="s">
        <v>428</v>
      </c>
      <c r="C54" s="1">
        <v>6</v>
      </c>
      <c r="D54" s="5">
        <v>3</v>
      </c>
      <c r="E54" s="5">
        <v>0.23</v>
      </c>
      <c r="F54" s="5">
        <v>0.1</v>
      </c>
      <c r="G54" s="4">
        <f t="shared" si="3"/>
        <v>0.41400000000000009</v>
      </c>
      <c r="H54" s="1" t="s">
        <v>10</v>
      </c>
      <c r="I54" s="9"/>
    </row>
    <row r="55" spans="1:9">
      <c r="A55" s="18"/>
      <c r="B55" s="46" t="s">
        <v>429</v>
      </c>
      <c r="C55" s="1">
        <v>6</v>
      </c>
      <c r="D55" s="5">
        <v>2.2000000000000002</v>
      </c>
      <c r="E55" s="5">
        <v>0.23</v>
      </c>
      <c r="F55" s="5">
        <v>0.1</v>
      </c>
      <c r="G55" s="4">
        <f t="shared" si="3"/>
        <v>0.30360000000000009</v>
      </c>
      <c r="H55" s="1" t="s">
        <v>10</v>
      </c>
      <c r="I55" s="9"/>
    </row>
    <row r="56" spans="1:9">
      <c r="A56" s="18"/>
      <c r="B56" s="46" t="s">
        <v>430</v>
      </c>
      <c r="C56" s="1">
        <v>5</v>
      </c>
      <c r="D56" s="5">
        <v>5.2</v>
      </c>
      <c r="E56" s="5">
        <v>0.23</v>
      </c>
      <c r="F56" s="5">
        <v>0.1</v>
      </c>
      <c r="G56" s="4">
        <f t="shared" si="3"/>
        <v>0.59800000000000009</v>
      </c>
      <c r="H56" s="1" t="s">
        <v>10</v>
      </c>
      <c r="I56" s="9"/>
    </row>
    <row r="57" spans="1:9">
      <c r="A57" s="18"/>
      <c r="B57" s="46" t="s">
        <v>431</v>
      </c>
      <c r="C57" s="1">
        <v>5</v>
      </c>
      <c r="D57" s="5">
        <v>2.5</v>
      </c>
      <c r="E57" s="5">
        <v>0.23</v>
      </c>
      <c r="F57" s="5">
        <v>0.1</v>
      </c>
      <c r="G57" s="4">
        <f t="shared" si="3"/>
        <v>0.28750000000000003</v>
      </c>
      <c r="H57" s="1" t="s">
        <v>10</v>
      </c>
      <c r="I57" s="9"/>
    </row>
    <row r="58" spans="1:9">
      <c r="A58" s="18"/>
      <c r="B58" s="46" t="s">
        <v>432</v>
      </c>
      <c r="C58" s="1">
        <v>5</v>
      </c>
      <c r="D58" s="5">
        <v>2.5</v>
      </c>
      <c r="E58" s="5">
        <v>0.23</v>
      </c>
      <c r="F58" s="5">
        <v>0.1</v>
      </c>
      <c r="G58" s="4">
        <f t="shared" si="3"/>
        <v>0.28750000000000003</v>
      </c>
      <c r="H58" s="1" t="s">
        <v>10</v>
      </c>
      <c r="I58" s="9"/>
    </row>
    <row r="59" spans="1:9">
      <c r="A59" s="18"/>
      <c r="B59" s="46" t="s">
        <v>433</v>
      </c>
      <c r="C59" s="1">
        <v>6</v>
      </c>
      <c r="D59" s="5">
        <v>5</v>
      </c>
      <c r="E59" s="5">
        <v>0.23</v>
      </c>
      <c r="F59" s="5">
        <v>0.1</v>
      </c>
      <c r="G59" s="4">
        <f t="shared" si="3"/>
        <v>0.69000000000000006</v>
      </c>
      <c r="H59" s="1" t="s">
        <v>10</v>
      </c>
      <c r="I59" s="9"/>
    </row>
    <row r="60" spans="1:9">
      <c r="A60" s="18"/>
      <c r="B60" s="46" t="s">
        <v>434</v>
      </c>
      <c r="C60" s="1">
        <v>6</v>
      </c>
      <c r="D60" s="5">
        <v>5</v>
      </c>
      <c r="E60" s="5">
        <v>0.23</v>
      </c>
      <c r="F60" s="5">
        <v>0.1</v>
      </c>
      <c r="G60" s="4">
        <f t="shared" si="3"/>
        <v>0.69000000000000006</v>
      </c>
      <c r="H60" s="1" t="s">
        <v>10</v>
      </c>
      <c r="I60" s="9"/>
    </row>
    <row r="61" spans="1:9">
      <c r="A61" s="18"/>
      <c r="B61" s="46" t="s">
        <v>435</v>
      </c>
      <c r="C61" s="1">
        <v>4</v>
      </c>
      <c r="D61" s="5">
        <v>0.79</v>
      </c>
      <c r="E61" s="5">
        <v>0.23</v>
      </c>
      <c r="F61" s="5">
        <v>0.1</v>
      </c>
      <c r="G61" s="4">
        <f t="shared" si="3"/>
        <v>7.2680000000000008E-2</v>
      </c>
      <c r="H61" s="1" t="s">
        <v>10</v>
      </c>
      <c r="I61" s="9"/>
    </row>
    <row r="62" spans="1:9">
      <c r="A62" s="18"/>
      <c r="B62" s="46" t="s">
        <v>436</v>
      </c>
      <c r="C62" s="1">
        <v>4</v>
      </c>
      <c r="D62" s="5">
        <v>1.2</v>
      </c>
      <c r="E62" s="5">
        <v>0.23</v>
      </c>
      <c r="F62" s="5">
        <v>0.1</v>
      </c>
      <c r="G62" s="4">
        <f t="shared" si="3"/>
        <v>0.11040000000000001</v>
      </c>
      <c r="H62" s="1" t="s">
        <v>10</v>
      </c>
      <c r="I62" s="9"/>
    </row>
    <row r="63" spans="1:9">
      <c r="A63" s="18"/>
      <c r="B63" s="46" t="s">
        <v>437</v>
      </c>
      <c r="C63" s="1">
        <v>9</v>
      </c>
      <c r="D63" s="5">
        <v>4.5</v>
      </c>
      <c r="E63" s="5">
        <v>0.23</v>
      </c>
      <c r="F63" s="5">
        <v>0.1</v>
      </c>
      <c r="G63" s="4">
        <f t="shared" si="3"/>
        <v>0.93150000000000022</v>
      </c>
      <c r="H63" s="1" t="s">
        <v>10</v>
      </c>
      <c r="I63" s="9"/>
    </row>
    <row r="64" spans="1:9">
      <c r="A64" s="18"/>
      <c r="B64" s="46" t="s">
        <v>438</v>
      </c>
      <c r="C64" s="1">
        <v>9</v>
      </c>
      <c r="D64" s="5">
        <v>4.5</v>
      </c>
      <c r="E64" s="5">
        <v>0.23</v>
      </c>
      <c r="F64" s="5">
        <v>0.1</v>
      </c>
      <c r="G64" s="4">
        <f t="shared" si="3"/>
        <v>0.93150000000000022</v>
      </c>
      <c r="H64" s="1" t="s">
        <v>10</v>
      </c>
      <c r="I64" s="9"/>
    </row>
    <row r="65" spans="1:9">
      <c r="A65" s="18"/>
      <c r="B65" s="46" t="s">
        <v>439</v>
      </c>
      <c r="C65" s="1">
        <v>10</v>
      </c>
      <c r="D65" s="5">
        <v>2.5</v>
      </c>
      <c r="E65" s="5">
        <v>0.23</v>
      </c>
      <c r="F65" s="5">
        <v>0.1</v>
      </c>
      <c r="G65" s="4">
        <f t="shared" si="3"/>
        <v>0.57500000000000007</v>
      </c>
      <c r="H65" s="1" t="s">
        <v>10</v>
      </c>
      <c r="I65" s="9"/>
    </row>
    <row r="66" spans="1:9">
      <c r="A66" s="18"/>
      <c r="B66" s="46" t="s">
        <v>440</v>
      </c>
      <c r="C66" s="1">
        <v>10</v>
      </c>
      <c r="D66" s="5">
        <v>2.5</v>
      </c>
      <c r="E66" s="5">
        <v>0.23</v>
      </c>
      <c r="F66" s="5">
        <v>0.1</v>
      </c>
      <c r="G66" s="4">
        <f t="shared" si="3"/>
        <v>0.57500000000000007</v>
      </c>
      <c r="H66" s="1" t="s">
        <v>10</v>
      </c>
      <c r="I66" s="9"/>
    </row>
    <row r="67" spans="1:9">
      <c r="A67" s="18"/>
      <c r="B67" s="46" t="s">
        <v>441</v>
      </c>
      <c r="C67" s="1">
        <v>9</v>
      </c>
      <c r="D67" s="5">
        <v>1.25</v>
      </c>
      <c r="E67" s="5">
        <v>0.23</v>
      </c>
      <c r="F67" s="5">
        <v>0.1</v>
      </c>
      <c r="G67" s="4">
        <f t="shared" si="3"/>
        <v>0.25874999999999998</v>
      </c>
      <c r="H67" s="1" t="s">
        <v>10</v>
      </c>
      <c r="I67" s="9"/>
    </row>
    <row r="68" spans="1:9">
      <c r="A68" s="18"/>
      <c r="B68" s="46" t="s">
        <v>442</v>
      </c>
      <c r="C68" s="1">
        <v>9</v>
      </c>
      <c r="D68" s="5">
        <v>3.75</v>
      </c>
      <c r="E68" s="5">
        <v>0.23</v>
      </c>
      <c r="F68" s="5">
        <v>0.1</v>
      </c>
      <c r="G68" s="4">
        <f t="shared" si="3"/>
        <v>0.77625000000000011</v>
      </c>
      <c r="H68" s="1" t="s">
        <v>10</v>
      </c>
      <c r="I68" s="9"/>
    </row>
    <row r="69" spans="1:9">
      <c r="A69" s="18"/>
      <c r="B69" s="46" t="s">
        <v>443</v>
      </c>
      <c r="C69" s="1">
        <v>9</v>
      </c>
      <c r="D69" s="5">
        <v>3.5</v>
      </c>
      <c r="E69" s="5">
        <v>0.23</v>
      </c>
      <c r="F69" s="5">
        <v>0.1</v>
      </c>
      <c r="G69" s="4">
        <f t="shared" si="3"/>
        <v>0.72450000000000003</v>
      </c>
      <c r="H69" s="1" t="s">
        <v>10</v>
      </c>
      <c r="I69" s="9"/>
    </row>
    <row r="70" spans="1:9">
      <c r="A70" s="18"/>
      <c r="B70" s="46" t="s">
        <v>91</v>
      </c>
      <c r="C70" s="1"/>
      <c r="D70" s="5"/>
      <c r="E70" s="5"/>
      <c r="F70" s="5"/>
      <c r="G70" s="4"/>
      <c r="H70" s="1"/>
      <c r="I70" s="9"/>
    </row>
    <row r="71" spans="1:9">
      <c r="A71" s="18"/>
      <c r="B71" s="46" t="s">
        <v>425</v>
      </c>
      <c r="C71" s="1">
        <v>7</v>
      </c>
      <c r="D71" s="5">
        <v>5.2</v>
      </c>
      <c r="E71" s="5">
        <v>0.23</v>
      </c>
      <c r="F71" s="5">
        <v>0.1</v>
      </c>
      <c r="G71" s="4">
        <f>C71*D71*E71*F71</f>
        <v>0.83720000000000006</v>
      </c>
      <c r="H71" s="1" t="s">
        <v>10</v>
      </c>
      <c r="I71" s="9"/>
    </row>
    <row r="72" spans="1:9">
      <c r="A72" s="18"/>
      <c r="B72" s="46" t="s">
        <v>426</v>
      </c>
      <c r="C72" s="1">
        <v>7</v>
      </c>
      <c r="D72" s="5">
        <v>5.2</v>
      </c>
      <c r="E72" s="5">
        <v>0.23</v>
      </c>
      <c r="F72" s="5">
        <v>0.1</v>
      </c>
      <c r="G72" s="4">
        <f t="shared" ref="G72:G89" si="4">C72*D72*E72*F72</f>
        <v>0.83720000000000006</v>
      </c>
      <c r="H72" s="1" t="s">
        <v>10</v>
      </c>
      <c r="I72" s="9"/>
    </row>
    <row r="73" spans="1:9">
      <c r="A73" s="18"/>
      <c r="B73" s="46" t="s">
        <v>427</v>
      </c>
      <c r="C73" s="1">
        <v>6</v>
      </c>
      <c r="D73" s="5">
        <v>5.2</v>
      </c>
      <c r="E73" s="5">
        <v>0.23</v>
      </c>
      <c r="F73" s="5">
        <v>0.1</v>
      </c>
      <c r="G73" s="4">
        <f t="shared" si="4"/>
        <v>0.71760000000000013</v>
      </c>
      <c r="H73" s="1" t="s">
        <v>10</v>
      </c>
      <c r="I73" s="9"/>
    </row>
    <row r="74" spans="1:9">
      <c r="A74" s="18"/>
      <c r="B74" s="46" t="s">
        <v>428</v>
      </c>
      <c r="C74" s="1">
        <v>9</v>
      </c>
      <c r="D74" s="5">
        <v>3</v>
      </c>
      <c r="E74" s="5">
        <v>0.23</v>
      </c>
      <c r="F74" s="5">
        <v>0.1</v>
      </c>
      <c r="G74" s="4">
        <f t="shared" si="4"/>
        <v>0.621</v>
      </c>
      <c r="H74" s="1" t="s">
        <v>10</v>
      </c>
      <c r="I74" s="9"/>
    </row>
    <row r="75" spans="1:9">
      <c r="A75" s="18"/>
      <c r="B75" s="46" t="s">
        <v>429</v>
      </c>
      <c r="C75" s="1">
        <v>6</v>
      </c>
      <c r="D75" s="5">
        <v>2.2000000000000002</v>
      </c>
      <c r="E75" s="5">
        <v>0.23</v>
      </c>
      <c r="F75" s="5">
        <v>0.1</v>
      </c>
      <c r="G75" s="4">
        <f t="shared" si="4"/>
        <v>0.30360000000000009</v>
      </c>
      <c r="H75" s="1" t="s">
        <v>10</v>
      </c>
      <c r="I75" s="9"/>
    </row>
    <row r="76" spans="1:9">
      <c r="A76" s="18"/>
      <c r="B76" s="46" t="s">
        <v>430</v>
      </c>
      <c r="C76" s="1">
        <v>5</v>
      </c>
      <c r="D76" s="5">
        <v>5.2</v>
      </c>
      <c r="E76" s="5">
        <v>0.23</v>
      </c>
      <c r="F76" s="5">
        <v>0.1</v>
      </c>
      <c r="G76" s="4">
        <f t="shared" si="4"/>
        <v>0.59800000000000009</v>
      </c>
      <c r="H76" s="1" t="s">
        <v>10</v>
      </c>
      <c r="I76" s="9"/>
    </row>
    <row r="77" spans="1:9">
      <c r="A77" s="18"/>
      <c r="B77" s="46" t="s">
        <v>431</v>
      </c>
      <c r="C77" s="1">
        <v>5</v>
      </c>
      <c r="D77" s="5">
        <v>2.5</v>
      </c>
      <c r="E77" s="5">
        <v>0.23</v>
      </c>
      <c r="F77" s="5">
        <v>0.1</v>
      </c>
      <c r="G77" s="4">
        <f t="shared" si="4"/>
        <v>0.28750000000000003</v>
      </c>
      <c r="H77" s="1" t="s">
        <v>10</v>
      </c>
      <c r="I77" s="9"/>
    </row>
    <row r="78" spans="1:9">
      <c r="A78" s="18"/>
      <c r="B78" s="46" t="s">
        <v>432</v>
      </c>
      <c r="C78" s="1">
        <v>5</v>
      </c>
      <c r="D78" s="5">
        <v>2.5</v>
      </c>
      <c r="E78" s="5">
        <v>0.23</v>
      </c>
      <c r="F78" s="5">
        <v>0.1</v>
      </c>
      <c r="G78" s="4">
        <f t="shared" si="4"/>
        <v>0.28750000000000003</v>
      </c>
      <c r="H78" s="1" t="s">
        <v>10</v>
      </c>
      <c r="I78" s="9"/>
    </row>
    <row r="79" spans="1:9">
      <c r="A79" s="18"/>
      <c r="B79" s="46" t="s">
        <v>433</v>
      </c>
      <c r="C79" s="1">
        <v>7</v>
      </c>
      <c r="D79" s="5">
        <v>5</v>
      </c>
      <c r="E79" s="5">
        <v>0.23</v>
      </c>
      <c r="F79" s="5">
        <v>0.1</v>
      </c>
      <c r="G79" s="4">
        <f t="shared" si="4"/>
        <v>0.80500000000000016</v>
      </c>
      <c r="H79" s="1" t="s">
        <v>10</v>
      </c>
      <c r="I79" s="9"/>
    </row>
    <row r="80" spans="1:9">
      <c r="A80" s="18"/>
      <c r="B80" s="46" t="s">
        <v>434</v>
      </c>
      <c r="C80" s="1">
        <v>8</v>
      </c>
      <c r="D80" s="5">
        <v>5</v>
      </c>
      <c r="E80" s="5">
        <v>0.23</v>
      </c>
      <c r="F80" s="5">
        <v>0.1</v>
      </c>
      <c r="G80" s="4">
        <f t="shared" si="4"/>
        <v>0.92000000000000015</v>
      </c>
      <c r="H80" s="1" t="s">
        <v>10</v>
      </c>
      <c r="I80" s="9"/>
    </row>
    <row r="81" spans="1:9">
      <c r="A81" s="18"/>
      <c r="B81" s="46" t="s">
        <v>435</v>
      </c>
      <c r="C81" s="1">
        <v>4</v>
      </c>
      <c r="D81" s="5">
        <v>0.79</v>
      </c>
      <c r="E81" s="5">
        <v>0.23</v>
      </c>
      <c r="F81" s="5">
        <v>0.1</v>
      </c>
      <c r="G81" s="4">
        <f t="shared" si="4"/>
        <v>7.2680000000000008E-2</v>
      </c>
      <c r="H81" s="1" t="s">
        <v>10</v>
      </c>
      <c r="I81" s="9"/>
    </row>
    <row r="82" spans="1:9">
      <c r="A82" s="18"/>
      <c r="B82" s="46" t="s">
        <v>436</v>
      </c>
      <c r="C82" s="1">
        <v>4</v>
      </c>
      <c r="D82" s="5">
        <v>1.2</v>
      </c>
      <c r="E82" s="5">
        <v>0.23</v>
      </c>
      <c r="F82" s="5">
        <v>0.1</v>
      </c>
      <c r="G82" s="4">
        <f t="shared" si="4"/>
        <v>0.11040000000000001</v>
      </c>
      <c r="H82" s="1" t="s">
        <v>10</v>
      </c>
      <c r="I82" s="9"/>
    </row>
    <row r="83" spans="1:9">
      <c r="A83" s="18"/>
      <c r="B83" s="46" t="s">
        <v>437</v>
      </c>
      <c r="C83" s="1">
        <v>12</v>
      </c>
      <c r="D83" s="5">
        <v>4.5</v>
      </c>
      <c r="E83" s="5">
        <v>0.23</v>
      </c>
      <c r="F83" s="5">
        <v>0.1</v>
      </c>
      <c r="G83" s="4">
        <f t="shared" si="4"/>
        <v>1.242</v>
      </c>
      <c r="H83" s="1" t="s">
        <v>10</v>
      </c>
      <c r="I83" s="9"/>
    </row>
    <row r="84" spans="1:9">
      <c r="A84" s="18"/>
      <c r="B84" s="46" t="s">
        <v>438</v>
      </c>
      <c r="C84" s="1">
        <v>13</v>
      </c>
      <c r="D84" s="5">
        <v>4.5</v>
      </c>
      <c r="E84" s="5">
        <v>0.23</v>
      </c>
      <c r="F84" s="5">
        <v>0.1</v>
      </c>
      <c r="G84" s="4">
        <f t="shared" si="4"/>
        <v>1.3455000000000001</v>
      </c>
      <c r="H84" s="1" t="s">
        <v>10</v>
      </c>
      <c r="I84" s="9"/>
    </row>
    <row r="85" spans="1:9">
      <c r="A85" s="18"/>
      <c r="B85" s="46" t="s">
        <v>439</v>
      </c>
      <c r="C85" s="1">
        <v>10</v>
      </c>
      <c r="D85" s="5">
        <v>2.5</v>
      </c>
      <c r="E85" s="5">
        <v>0.23</v>
      </c>
      <c r="F85" s="5">
        <v>0.1</v>
      </c>
      <c r="G85" s="4">
        <f t="shared" si="4"/>
        <v>0.57500000000000007</v>
      </c>
      <c r="H85" s="1" t="s">
        <v>10</v>
      </c>
      <c r="I85" s="9"/>
    </row>
    <row r="86" spans="1:9">
      <c r="A86" s="18"/>
      <c r="B86" s="46" t="s">
        <v>440</v>
      </c>
      <c r="C86" s="1">
        <v>10</v>
      </c>
      <c r="D86" s="5">
        <v>2.5</v>
      </c>
      <c r="E86" s="5">
        <v>0.23</v>
      </c>
      <c r="F86" s="5">
        <v>0.1</v>
      </c>
      <c r="G86" s="4">
        <f t="shared" si="4"/>
        <v>0.57500000000000007</v>
      </c>
      <c r="H86" s="1" t="s">
        <v>10</v>
      </c>
      <c r="I86" s="9"/>
    </row>
    <row r="87" spans="1:9">
      <c r="A87" s="18"/>
      <c r="B87" s="46" t="s">
        <v>441</v>
      </c>
      <c r="C87" s="1">
        <v>9</v>
      </c>
      <c r="D87" s="5">
        <v>1.25</v>
      </c>
      <c r="E87" s="5">
        <v>0.23</v>
      </c>
      <c r="F87" s="5">
        <v>0.1</v>
      </c>
      <c r="G87" s="4">
        <f t="shared" si="4"/>
        <v>0.25874999999999998</v>
      </c>
      <c r="H87" s="1" t="s">
        <v>10</v>
      </c>
      <c r="I87" s="9"/>
    </row>
    <row r="88" spans="1:9">
      <c r="A88" s="18"/>
      <c r="B88" s="46" t="s">
        <v>442</v>
      </c>
      <c r="C88" s="1">
        <v>9</v>
      </c>
      <c r="D88" s="5">
        <v>3.75</v>
      </c>
      <c r="E88" s="5">
        <v>0.23</v>
      </c>
      <c r="F88" s="5">
        <v>0.1</v>
      </c>
      <c r="G88" s="4">
        <f t="shared" si="4"/>
        <v>0.77625000000000011</v>
      </c>
      <c r="H88" s="1" t="s">
        <v>10</v>
      </c>
      <c r="I88" s="9"/>
    </row>
    <row r="89" spans="1:9">
      <c r="A89" s="18"/>
      <c r="B89" s="46" t="s">
        <v>443</v>
      </c>
      <c r="C89" s="1">
        <v>9</v>
      </c>
      <c r="D89" s="5">
        <v>3.5</v>
      </c>
      <c r="E89" s="5">
        <v>0.23</v>
      </c>
      <c r="F89" s="5">
        <v>0.1</v>
      </c>
      <c r="G89" s="4">
        <f t="shared" si="4"/>
        <v>0.72450000000000003</v>
      </c>
      <c r="H89" s="1" t="s">
        <v>10</v>
      </c>
      <c r="I89" s="9"/>
    </row>
    <row r="90" spans="1:9">
      <c r="A90" s="18"/>
      <c r="B90" s="46"/>
      <c r="C90" s="1"/>
      <c r="D90" s="5"/>
      <c r="E90" s="5"/>
      <c r="F90" s="5"/>
      <c r="G90" s="4"/>
      <c r="H90" s="1"/>
      <c r="I90" s="9"/>
    </row>
    <row r="91" spans="1:9">
      <c r="A91" s="18"/>
      <c r="B91" s="46"/>
      <c r="C91" s="1"/>
      <c r="D91" s="5"/>
      <c r="E91" s="5"/>
      <c r="F91" s="50" t="s">
        <v>11</v>
      </c>
      <c r="G91" s="53">
        <f>SUM(G42:G90)</f>
        <v>229.69023499999992</v>
      </c>
      <c r="H91" s="50" t="s">
        <v>12</v>
      </c>
      <c r="I91" s="9"/>
    </row>
    <row r="92" spans="1:9">
      <c r="A92" s="18"/>
      <c r="B92" s="46"/>
      <c r="C92" s="1"/>
      <c r="D92" s="5"/>
      <c r="E92" s="5"/>
      <c r="F92" s="56" t="s">
        <v>13</v>
      </c>
      <c r="G92" s="27">
        <f>ROUNDUP(G91,0)</f>
        <v>230</v>
      </c>
      <c r="H92" s="28" t="s">
        <v>9</v>
      </c>
      <c r="I92" s="9"/>
    </row>
    <row r="93" spans="1:9">
      <c r="A93" s="18"/>
      <c r="B93" s="46"/>
      <c r="C93" s="1"/>
      <c r="D93" s="5"/>
      <c r="E93" s="5"/>
      <c r="F93" s="5"/>
      <c r="G93" s="4"/>
      <c r="H93" s="1"/>
      <c r="I93" s="9"/>
    </row>
    <row r="94" spans="1:9">
      <c r="A94" s="18">
        <f>A41+1</f>
        <v>7</v>
      </c>
      <c r="B94" s="9" t="s">
        <v>38</v>
      </c>
      <c r="I94" s="9"/>
    </row>
    <row r="95" spans="1:9">
      <c r="A95" s="18"/>
      <c r="B95" s="15" t="s">
        <v>56</v>
      </c>
      <c r="I95" s="9"/>
    </row>
    <row r="96" spans="1:9">
      <c r="A96" s="18"/>
      <c r="B96" s="46" t="s">
        <v>100</v>
      </c>
      <c r="C96" s="1">
        <v>9</v>
      </c>
      <c r="D96" s="5">
        <v>1.8</v>
      </c>
      <c r="E96" s="5">
        <v>0.23</v>
      </c>
      <c r="F96" s="5">
        <v>7.4999999999999997E-2</v>
      </c>
      <c r="G96" s="4">
        <f>C96*D96*E96*F96</f>
        <v>0.27944999999999998</v>
      </c>
      <c r="H96" s="1" t="s">
        <v>12</v>
      </c>
      <c r="I96" s="9"/>
    </row>
    <row r="97" spans="1:10">
      <c r="A97" s="79"/>
      <c r="B97" s="46" t="s">
        <v>103</v>
      </c>
      <c r="C97" s="1">
        <v>11</v>
      </c>
      <c r="D97" s="5">
        <v>1.8</v>
      </c>
      <c r="E97" s="5">
        <v>0.23</v>
      </c>
      <c r="F97" s="5">
        <v>7.4999999999999997E-2</v>
      </c>
      <c r="G97" s="4">
        <f t="shared" ref="G97:G102" si="5">C97*D97*E97*F97</f>
        <v>0.34155000000000002</v>
      </c>
      <c r="H97" s="1" t="s">
        <v>10</v>
      </c>
      <c r="I97" s="9"/>
    </row>
    <row r="98" spans="1:10">
      <c r="A98" s="79"/>
      <c r="B98" s="46" t="s">
        <v>104</v>
      </c>
      <c r="C98" s="1">
        <v>2</v>
      </c>
      <c r="D98" s="5">
        <v>1.5</v>
      </c>
      <c r="E98" s="5">
        <v>0.23</v>
      </c>
      <c r="F98" s="5">
        <v>7.4999999999999997E-2</v>
      </c>
      <c r="G98" s="4">
        <f t="shared" si="5"/>
        <v>5.1750000000000004E-2</v>
      </c>
      <c r="H98" s="1" t="s">
        <v>10</v>
      </c>
      <c r="I98" s="9"/>
    </row>
    <row r="99" spans="1:10">
      <c r="A99" s="79"/>
      <c r="B99" s="46" t="s">
        <v>105</v>
      </c>
      <c r="C99" s="1">
        <v>2</v>
      </c>
      <c r="D99" s="5">
        <v>1.2</v>
      </c>
      <c r="E99" s="5">
        <v>0.23</v>
      </c>
      <c r="F99" s="5">
        <v>7.4999999999999997E-2</v>
      </c>
      <c r="G99" s="4">
        <f t="shared" si="5"/>
        <v>4.1399999999999999E-2</v>
      </c>
      <c r="H99" s="1" t="s">
        <v>10</v>
      </c>
      <c r="I99" s="9"/>
    </row>
    <row r="100" spans="1:10">
      <c r="A100" s="79"/>
      <c r="B100" s="46" t="s">
        <v>444</v>
      </c>
      <c r="C100" s="1">
        <v>1</v>
      </c>
      <c r="D100" s="5">
        <v>1.2</v>
      </c>
      <c r="E100" s="5">
        <v>0.23</v>
      </c>
      <c r="F100" s="5">
        <v>7.4999999999999997E-2</v>
      </c>
      <c r="G100" s="4">
        <f t="shared" si="5"/>
        <v>2.07E-2</v>
      </c>
      <c r="H100" s="1" t="s">
        <v>10</v>
      </c>
      <c r="I100" s="9"/>
    </row>
    <row r="101" spans="1:10">
      <c r="A101" s="79"/>
      <c r="B101" s="46" t="s">
        <v>108</v>
      </c>
      <c r="C101" s="1">
        <v>5</v>
      </c>
      <c r="D101" s="5">
        <v>1.8</v>
      </c>
      <c r="E101" s="5">
        <v>0.23</v>
      </c>
      <c r="F101" s="5">
        <v>7.4999999999999997E-2</v>
      </c>
      <c r="G101" s="4">
        <f t="shared" si="5"/>
        <v>0.15525000000000003</v>
      </c>
      <c r="H101" s="1" t="s">
        <v>10</v>
      </c>
      <c r="I101" s="9"/>
    </row>
    <row r="102" spans="1:10">
      <c r="A102" s="79"/>
      <c r="B102" s="46"/>
      <c r="C102" s="1">
        <v>1</v>
      </c>
      <c r="D102" s="5">
        <v>57</v>
      </c>
      <c r="E102" s="5">
        <v>0.115</v>
      </c>
      <c r="F102" s="5">
        <v>7.4999999999999997E-2</v>
      </c>
      <c r="G102" s="4">
        <f t="shared" si="5"/>
        <v>0.49162500000000003</v>
      </c>
      <c r="H102" s="1" t="s">
        <v>10</v>
      </c>
      <c r="I102" s="9"/>
    </row>
    <row r="103" spans="1:10">
      <c r="A103" s="79"/>
      <c r="B103" s="46"/>
      <c r="C103" s="1"/>
      <c r="D103" s="5"/>
      <c r="E103" s="5"/>
      <c r="F103" s="5"/>
      <c r="G103" s="4"/>
      <c r="H103" s="1"/>
      <c r="I103" s="9"/>
    </row>
    <row r="104" spans="1:10">
      <c r="A104" s="13"/>
      <c r="B104" s="9"/>
      <c r="C104" s="1"/>
      <c r="D104" s="1"/>
      <c r="E104" s="1"/>
      <c r="F104" s="34" t="s">
        <v>11</v>
      </c>
      <c r="G104" s="53">
        <f>SUM(G96:G103)</f>
        <v>1.3817250000000001</v>
      </c>
      <c r="H104" s="50" t="s">
        <v>12</v>
      </c>
      <c r="J104" s="4"/>
    </row>
    <row r="105" spans="1:10">
      <c r="A105" s="13"/>
      <c r="B105" s="9"/>
      <c r="C105" s="1"/>
      <c r="D105" s="1"/>
      <c r="E105" s="1"/>
      <c r="F105" s="56" t="s">
        <v>13</v>
      </c>
      <c r="G105" s="27">
        <f>ROUNDUP(G104,0)</f>
        <v>2</v>
      </c>
      <c r="H105" s="28" t="s">
        <v>9</v>
      </c>
      <c r="I105" s="9"/>
    </row>
    <row r="106" spans="1:10">
      <c r="A106" s="13"/>
      <c r="B106" s="9"/>
      <c r="C106" s="1"/>
      <c r="D106" s="1"/>
      <c r="E106" s="1"/>
      <c r="F106" s="1"/>
      <c r="G106" s="33"/>
      <c r="H106" s="24"/>
      <c r="I106" s="9"/>
    </row>
    <row r="107" spans="1:10">
      <c r="A107" s="13"/>
      <c r="B107" s="15" t="s">
        <v>445</v>
      </c>
      <c r="I107" s="9"/>
    </row>
    <row r="108" spans="1:10">
      <c r="A108" s="13"/>
      <c r="B108" s="46" t="s">
        <v>100</v>
      </c>
      <c r="C108" s="1">
        <v>4</v>
      </c>
      <c r="D108" s="5">
        <v>1.8</v>
      </c>
      <c r="E108" s="5">
        <v>0.23</v>
      </c>
      <c r="F108" s="5">
        <v>7.4999999999999997E-2</v>
      </c>
      <c r="G108" s="4">
        <f>C108*D108*E108*F108</f>
        <v>0.1242</v>
      </c>
      <c r="H108" s="1" t="s">
        <v>12</v>
      </c>
      <c r="I108" s="9"/>
    </row>
    <row r="109" spans="1:10">
      <c r="A109" s="13"/>
      <c r="B109" s="46" t="s">
        <v>102</v>
      </c>
      <c r="C109" s="1">
        <v>2</v>
      </c>
      <c r="D109" s="5">
        <v>1.2</v>
      </c>
      <c r="E109" s="5">
        <v>0.23</v>
      </c>
      <c r="F109" s="5">
        <v>7.4999999999999997E-2</v>
      </c>
      <c r="G109" s="4">
        <f t="shared" ref="G109:G117" si="6">C109*D109*E109*F109</f>
        <v>4.1399999999999999E-2</v>
      </c>
      <c r="H109" s="1" t="s">
        <v>10</v>
      </c>
      <c r="I109" s="9"/>
    </row>
    <row r="110" spans="1:10">
      <c r="A110" s="13"/>
      <c r="B110" s="46" t="s">
        <v>446</v>
      </c>
      <c r="C110" s="1">
        <v>2</v>
      </c>
      <c r="D110" s="5">
        <v>1.2</v>
      </c>
      <c r="E110" s="5">
        <v>0.23</v>
      </c>
      <c r="F110" s="5">
        <v>7.4999999999999997E-2</v>
      </c>
      <c r="G110" s="4">
        <f t="shared" si="6"/>
        <v>4.1399999999999999E-2</v>
      </c>
      <c r="H110" s="1" t="s">
        <v>10</v>
      </c>
      <c r="I110" s="9"/>
    </row>
    <row r="111" spans="1:10">
      <c r="A111" s="13"/>
      <c r="B111" s="46" t="s">
        <v>447</v>
      </c>
      <c r="C111" s="1">
        <v>2</v>
      </c>
      <c r="D111" s="5">
        <v>0.9</v>
      </c>
      <c r="E111" s="5">
        <v>0.23</v>
      </c>
      <c r="F111" s="5">
        <v>7.4999999999999997E-2</v>
      </c>
      <c r="G111" s="4">
        <f t="shared" si="6"/>
        <v>3.1050000000000001E-2</v>
      </c>
      <c r="H111" s="1" t="s">
        <v>10</v>
      </c>
      <c r="I111" s="9"/>
    </row>
    <row r="112" spans="1:10">
      <c r="A112" s="13"/>
      <c r="B112" s="46" t="s">
        <v>103</v>
      </c>
      <c r="C112" s="1">
        <v>16</v>
      </c>
      <c r="D112" s="5">
        <v>0.9</v>
      </c>
      <c r="E112" s="5">
        <v>0.23</v>
      </c>
      <c r="F112" s="5">
        <v>7.4999999999999997E-2</v>
      </c>
      <c r="G112" s="4">
        <f t="shared" si="6"/>
        <v>0.24840000000000001</v>
      </c>
      <c r="H112" s="1" t="s">
        <v>10</v>
      </c>
      <c r="I112" s="9"/>
    </row>
    <row r="113" spans="1:9">
      <c r="A113" s="13"/>
      <c r="B113" s="46" t="s">
        <v>448</v>
      </c>
      <c r="C113" s="1">
        <v>14</v>
      </c>
      <c r="D113" s="5">
        <v>0.9</v>
      </c>
      <c r="E113" s="5">
        <v>0.23</v>
      </c>
      <c r="F113" s="5">
        <v>7.4999999999999997E-2</v>
      </c>
      <c r="G113" s="4">
        <f t="shared" si="6"/>
        <v>0.21735000000000002</v>
      </c>
      <c r="H113" s="1" t="s">
        <v>10</v>
      </c>
      <c r="I113" s="9"/>
    </row>
    <row r="114" spans="1:9">
      <c r="A114" s="13"/>
      <c r="B114" s="46" t="s">
        <v>106</v>
      </c>
      <c r="C114" s="1">
        <v>3</v>
      </c>
      <c r="D114" s="5">
        <v>1.8</v>
      </c>
      <c r="E114" s="5">
        <v>0.23</v>
      </c>
      <c r="F114" s="5">
        <v>7.4999999999999997E-2</v>
      </c>
      <c r="G114" s="4">
        <f t="shared" si="6"/>
        <v>9.3150000000000011E-2</v>
      </c>
      <c r="H114" s="1" t="s">
        <v>10</v>
      </c>
      <c r="I114" s="9"/>
    </row>
    <row r="115" spans="1:9">
      <c r="A115" s="13"/>
      <c r="B115" s="46" t="s">
        <v>107</v>
      </c>
      <c r="C115" s="1">
        <v>5</v>
      </c>
      <c r="D115" s="5">
        <v>1.2</v>
      </c>
      <c r="E115" s="5">
        <v>0.23</v>
      </c>
      <c r="F115" s="5">
        <v>7.4999999999999997E-2</v>
      </c>
      <c r="G115" s="4">
        <f t="shared" si="6"/>
        <v>0.10350000000000001</v>
      </c>
      <c r="H115" s="1" t="s">
        <v>10</v>
      </c>
      <c r="I115" s="9"/>
    </row>
    <row r="116" spans="1:9">
      <c r="A116" s="13"/>
      <c r="B116" s="46" t="s">
        <v>108</v>
      </c>
      <c r="C116" s="1">
        <v>3</v>
      </c>
      <c r="D116" s="5">
        <v>0.9</v>
      </c>
      <c r="E116" s="5">
        <v>0.23</v>
      </c>
      <c r="F116" s="5">
        <v>7.4999999999999997E-2</v>
      </c>
      <c r="G116" s="4">
        <f t="shared" si="6"/>
        <v>4.6575000000000005E-2</v>
      </c>
      <c r="H116" s="1" t="s">
        <v>10</v>
      </c>
      <c r="I116" s="9"/>
    </row>
    <row r="117" spans="1:9">
      <c r="A117" s="13"/>
      <c r="B117" s="46"/>
      <c r="C117" s="1">
        <v>1</v>
      </c>
      <c r="D117" s="5">
        <v>116</v>
      </c>
      <c r="E117" s="5">
        <v>0.23</v>
      </c>
      <c r="F117" s="5">
        <v>7.4999999999999997E-2</v>
      </c>
      <c r="G117" s="4">
        <f t="shared" si="6"/>
        <v>2.0009999999999999</v>
      </c>
      <c r="H117" s="1" t="s">
        <v>10</v>
      </c>
      <c r="I117" s="9"/>
    </row>
    <row r="118" spans="1:9">
      <c r="A118" s="13"/>
      <c r="B118" s="46"/>
      <c r="C118" s="1"/>
      <c r="D118" s="5"/>
      <c r="E118" s="5"/>
      <c r="F118" s="5"/>
      <c r="G118" s="4"/>
      <c r="H118" s="1"/>
      <c r="I118" s="9"/>
    </row>
    <row r="119" spans="1:9">
      <c r="A119" s="13"/>
      <c r="B119" s="9"/>
      <c r="C119" s="1"/>
      <c r="D119" s="1"/>
      <c r="E119" s="1"/>
      <c r="F119" s="34" t="s">
        <v>11</v>
      </c>
      <c r="G119" s="53">
        <f>SUM(G108:G118)</f>
        <v>2.9480249999999999</v>
      </c>
      <c r="H119" s="50" t="s">
        <v>12</v>
      </c>
      <c r="I119" s="9"/>
    </row>
    <row r="120" spans="1:9">
      <c r="A120" s="13"/>
      <c r="B120" s="9"/>
      <c r="C120" s="1"/>
      <c r="D120" s="1"/>
      <c r="E120" s="1"/>
      <c r="F120" s="56" t="s">
        <v>13</v>
      </c>
      <c r="G120" s="27">
        <f>ROUNDUP(G119,0)</f>
        <v>3</v>
      </c>
      <c r="H120" s="28" t="s">
        <v>9</v>
      </c>
      <c r="I120" s="9"/>
    </row>
    <row r="121" spans="1:9">
      <c r="A121" s="13"/>
      <c r="B121" s="9"/>
      <c r="C121" s="1"/>
      <c r="D121" s="1"/>
      <c r="E121" s="1"/>
      <c r="F121" s="1"/>
      <c r="G121" s="33"/>
      <c r="H121" s="24"/>
      <c r="I121" s="9"/>
    </row>
    <row r="122" spans="1:9">
      <c r="A122" s="13"/>
      <c r="B122" s="15" t="s">
        <v>57</v>
      </c>
      <c r="I122" s="9"/>
    </row>
    <row r="123" spans="1:9">
      <c r="A123" s="13"/>
      <c r="B123" s="46" t="s">
        <v>100</v>
      </c>
      <c r="C123" s="1">
        <v>6</v>
      </c>
      <c r="D123" s="5">
        <v>2.2999999999999998</v>
      </c>
      <c r="E123" s="5">
        <v>0.23</v>
      </c>
      <c r="F123" s="5">
        <v>7.4999999999999997E-2</v>
      </c>
      <c r="G123" s="4">
        <f>C123*D123*E123*F123</f>
        <v>0.23804999999999998</v>
      </c>
      <c r="H123" s="1" t="s">
        <v>12</v>
      </c>
      <c r="I123" s="9"/>
    </row>
    <row r="124" spans="1:9">
      <c r="A124" s="13"/>
      <c r="B124" s="46" t="s">
        <v>107</v>
      </c>
      <c r="C124" s="1">
        <v>7</v>
      </c>
      <c r="D124" s="5">
        <v>1.2</v>
      </c>
      <c r="E124" s="5">
        <v>0.23</v>
      </c>
      <c r="F124" s="5">
        <v>7.4999999999999997E-2</v>
      </c>
      <c r="G124" s="4">
        <f>C124*D124*E124*F124</f>
        <v>0.1449</v>
      </c>
      <c r="H124" s="1" t="s">
        <v>10</v>
      </c>
      <c r="I124" s="9"/>
    </row>
    <row r="125" spans="1:9">
      <c r="A125" s="13"/>
      <c r="B125" s="46" t="s">
        <v>108</v>
      </c>
      <c r="C125" s="1">
        <v>4</v>
      </c>
      <c r="D125" s="5">
        <v>1.4</v>
      </c>
      <c r="E125" s="5">
        <v>0.23</v>
      </c>
      <c r="F125" s="5">
        <v>7.4999999999999997E-2</v>
      </c>
      <c r="G125" s="4">
        <f>C125*D125*E125*F125</f>
        <v>9.6600000000000005E-2</v>
      </c>
      <c r="H125" s="1" t="s">
        <v>10</v>
      </c>
      <c r="I125" s="9"/>
    </row>
    <row r="126" spans="1:9">
      <c r="A126" s="13"/>
      <c r="B126" s="46"/>
      <c r="C126" s="1">
        <v>1</v>
      </c>
      <c r="D126" s="5">
        <v>61</v>
      </c>
      <c r="E126" s="5">
        <v>0.115</v>
      </c>
      <c r="F126" s="5">
        <v>7.4999999999999997E-2</v>
      </c>
      <c r="G126" s="4">
        <f>C126*D126*E126*F126</f>
        <v>0.52612500000000006</v>
      </c>
      <c r="H126" s="1" t="s">
        <v>10</v>
      </c>
      <c r="I126" s="9"/>
    </row>
    <row r="127" spans="1:9">
      <c r="A127" s="13"/>
      <c r="B127" s="46"/>
      <c r="C127" s="1"/>
      <c r="D127" s="5"/>
      <c r="E127" s="5"/>
      <c r="F127" s="5"/>
      <c r="G127" s="4"/>
      <c r="H127" s="1"/>
      <c r="I127" s="9"/>
    </row>
    <row r="128" spans="1:9">
      <c r="A128" s="13"/>
      <c r="B128" s="9"/>
      <c r="C128" s="1"/>
      <c r="D128" s="1"/>
      <c r="E128" s="1"/>
      <c r="F128" s="34" t="s">
        <v>11</v>
      </c>
      <c r="G128" s="53">
        <f>SUM(G123:G127)</f>
        <v>1.0056750000000001</v>
      </c>
      <c r="H128" s="50" t="s">
        <v>12</v>
      </c>
      <c r="I128" s="9"/>
    </row>
    <row r="129" spans="1:9">
      <c r="A129" s="13"/>
      <c r="B129" s="9"/>
      <c r="C129" s="1"/>
      <c r="D129" s="1"/>
      <c r="E129" s="1"/>
      <c r="F129" s="56" t="s">
        <v>13</v>
      </c>
      <c r="G129" s="27">
        <f>ROUNDUP(G128,0)</f>
        <v>2</v>
      </c>
      <c r="H129" s="28" t="s">
        <v>9</v>
      </c>
      <c r="I129" s="9"/>
    </row>
    <row r="130" spans="1:9">
      <c r="A130" s="13"/>
      <c r="B130" s="9"/>
      <c r="C130" s="1"/>
      <c r="D130" s="1"/>
      <c r="E130" s="1"/>
      <c r="F130" s="1"/>
      <c r="G130" s="33"/>
      <c r="H130" s="24"/>
      <c r="I130" s="9"/>
    </row>
    <row r="131" spans="1:9">
      <c r="B131" s="51" t="s">
        <v>135</v>
      </c>
      <c r="C131" s="1"/>
      <c r="D131" s="5"/>
      <c r="E131" s="5"/>
      <c r="F131" s="5"/>
      <c r="G131" s="4"/>
      <c r="H131" s="1"/>
      <c r="I131" s="9"/>
    </row>
    <row r="132" spans="1:9">
      <c r="A132" s="18">
        <f>A94+1</f>
        <v>8</v>
      </c>
      <c r="B132" s="9" t="s">
        <v>594</v>
      </c>
      <c r="C132" s="1"/>
      <c r="D132" s="5"/>
      <c r="E132" s="5"/>
      <c r="F132" s="5"/>
      <c r="G132" s="4"/>
      <c r="H132" s="1"/>
      <c r="I132" s="9"/>
    </row>
    <row r="133" spans="1:9">
      <c r="A133" s="18"/>
      <c r="B133" s="46" t="s">
        <v>551</v>
      </c>
      <c r="C133" s="1">
        <v>3</v>
      </c>
      <c r="D133" s="5">
        <v>38.85</v>
      </c>
      <c r="E133" s="5">
        <v>2</v>
      </c>
      <c r="F133" s="5">
        <v>0.45</v>
      </c>
      <c r="G133" s="4">
        <f>C133*D133*E133*F133</f>
        <v>104.89500000000001</v>
      </c>
      <c r="H133" s="1" t="s">
        <v>12</v>
      </c>
      <c r="I133" s="9"/>
    </row>
    <row r="134" spans="1:9">
      <c r="A134" s="18"/>
      <c r="B134" s="46"/>
      <c r="C134" s="1">
        <v>2</v>
      </c>
      <c r="D134" s="5">
        <v>38.85</v>
      </c>
      <c r="E134" s="5">
        <v>2</v>
      </c>
      <c r="F134" s="5">
        <v>0.6</v>
      </c>
      <c r="G134" s="4">
        <f t="shared" ref="G134:G140" si="7">C134*D134*E134*F134</f>
        <v>93.24</v>
      </c>
      <c r="H134" s="1" t="s">
        <v>10</v>
      </c>
      <c r="I134" s="9"/>
    </row>
    <row r="135" spans="1:9">
      <c r="A135" s="18"/>
      <c r="B135" s="46"/>
      <c r="C135" s="1">
        <v>2</v>
      </c>
      <c r="D135" s="5">
        <v>24.35</v>
      </c>
      <c r="E135" s="5">
        <v>2</v>
      </c>
      <c r="F135" s="5">
        <v>0.45</v>
      </c>
      <c r="G135" s="4">
        <f t="shared" si="7"/>
        <v>43.830000000000005</v>
      </c>
      <c r="H135" s="1" t="s">
        <v>10</v>
      </c>
      <c r="I135" s="9"/>
    </row>
    <row r="136" spans="1:9">
      <c r="A136" s="18"/>
      <c r="B136" s="46"/>
      <c r="C136" s="1">
        <v>1</v>
      </c>
      <c r="D136" s="5">
        <v>10.025</v>
      </c>
      <c r="E136" s="5">
        <v>2</v>
      </c>
      <c r="F136" s="5">
        <v>0.45</v>
      </c>
      <c r="G136" s="4">
        <f t="shared" si="7"/>
        <v>9.0225000000000009</v>
      </c>
      <c r="H136" s="1" t="s">
        <v>10</v>
      </c>
      <c r="I136" s="9"/>
    </row>
    <row r="137" spans="1:9">
      <c r="A137" s="18"/>
      <c r="B137" s="46"/>
      <c r="C137" s="1">
        <v>1</v>
      </c>
      <c r="D137" s="5">
        <v>9.625</v>
      </c>
      <c r="E137" s="5">
        <v>2</v>
      </c>
      <c r="F137" s="5">
        <v>0.45</v>
      </c>
      <c r="G137" s="4">
        <f t="shared" si="7"/>
        <v>8.6624999999999996</v>
      </c>
      <c r="H137" s="1" t="s">
        <v>10</v>
      </c>
      <c r="I137" s="9"/>
    </row>
    <row r="138" spans="1:9">
      <c r="A138" s="18"/>
      <c r="B138" s="46"/>
      <c r="C138" s="1">
        <v>1</v>
      </c>
      <c r="D138" s="5">
        <v>6.7750000000000004</v>
      </c>
      <c r="E138" s="5">
        <v>2</v>
      </c>
      <c r="F138" s="5">
        <v>0.45</v>
      </c>
      <c r="G138" s="4">
        <f t="shared" si="7"/>
        <v>6.0975000000000001</v>
      </c>
      <c r="H138" s="1" t="s">
        <v>10</v>
      </c>
      <c r="I138" s="9"/>
    </row>
    <row r="139" spans="1:9">
      <c r="A139" s="18"/>
      <c r="B139" s="46"/>
      <c r="C139" s="1">
        <v>1</v>
      </c>
      <c r="D139" s="5">
        <v>6.85</v>
      </c>
      <c r="E139" s="5">
        <v>2</v>
      </c>
      <c r="F139" s="5">
        <v>0.45</v>
      </c>
      <c r="G139" s="4">
        <f t="shared" si="7"/>
        <v>6.165</v>
      </c>
      <c r="H139" s="1" t="s">
        <v>10</v>
      </c>
      <c r="I139" s="9"/>
    </row>
    <row r="140" spans="1:9">
      <c r="A140" s="18"/>
      <c r="B140" s="46"/>
      <c r="C140" s="1">
        <v>1</v>
      </c>
      <c r="D140" s="5">
        <v>4.93</v>
      </c>
      <c r="E140" s="5">
        <v>2</v>
      </c>
      <c r="F140" s="5">
        <v>0.45</v>
      </c>
      <c r="G140" s="4">
        <f t="shared" si="7"/>
        <v>4.4370000000000003</v>
      </c>
      <c r="H140" s="1" t="s">
        <v>10</v>
      </c>
      <c r="I140" s="9"/>
    </row>
    <row r="141" spans="1:9">
      <c r="A141" s="18"/>
      <c r="B141" s="46" t="s">
        <v>346</v>
      </c>
      <c r="C141" s="1"/>
      <c r="D141" s="1"/>
      <c r="E141" s="1"/>
      <c r="F141" s="1"/>
      <c r="G141" s="33"/>
      <c r="H141" s="24"/>
      <c r="I141" s="9"/>
    </row>
    <row r="142" spans="1:9">
      <c r="A142" s="18"/>
      <c r="B142" s="46" t="str">
        <f t="shared" ref="B142:D160" si="8">B51</f>
        <v>Y1-Y2</v>
      </c>
      <c r="C142" s="1">
        <f t="shared" si="8"/>
        <v>7</v>
      </c>
      <c r="D142" s="5">
        <f t="shared" si="8"/>
        <v>5.2</v>
      </c>
      <c r="E142" s="1">
        <v>0.23</v>
      </c>
      <c r="F142" s="5">
        <v>0.45</v>
      </c>
      <c r="G142" s="4">
        <f>C142*D142*E142*F142</f>
        <v>3.7673999999999999</v>
      </c>
      <c r="H142" s="1" t="s">
        <v>12</v>
      </c>
      <c r="I142" s="9"/>
    </row>
    <row r="143" spans="1:9">
      <c r="A143" s="18"/>
      <c r="B143" s="46" t="str">
        <f t="shared" si="8"/>
        <v>Y2-Y3</v>
      </c>
      <c r="C143" s="1">
        <f t="shared" si="8"/>
        <v>6</v>
      </c>
      <c r="D143" s="5">
        <f t="shared" si="8"/>
        <v>5.2</v>
      </c>
      <c r="E143" s="1">
        <v>0.23</v>
      </c>
      <c r="F143" s="5">
        <v>0.45</v>
      </c>
      <c r="G143" s="4">
        <f t="shared" ref="G143:G160" si="9">C143*D143*E143*F143</f>
        <v>3.2292000000000005</v>
      </c>
      <c r="H143" s="1" t="s">
        <v>10</v>
      </c>
      <c r="I143" s="9"/>
    </row>
    <row r="144" spans="1:9">
      <c r="A144" s="18"/>
      <c r="B144" s="46" t="str">
        <f t="shared" si="8"/>
        <v>Y3-Y4</v>
      </c>
      <c r="C144" s="1">
        <f t="shared" si="8"/>
        <v>5</v>
      </c>
      <c r="D144" s="5">
        <f t="shared" si="8"/>
        <v>5.2</v>
      </c>
      <c r="E144" s="1">
        <v>0.23</v>
      </c>
      <c r="F144" s="5">
        <v>0.45</v>
      </c>
      <c r="G144" s="4">
        <f t="shared" si="9"/>
        <v>2.6910000000000003</v>
      </c>
      <c r="H144" s="1" t="s">
        <v>10</v>
      </c>
      <c r="I144" s="9"/>
    </row>
    <row r="145" spans="1:9">
      <c r="A145" s="18"/>
      <c r="B145" s="46" t="str">
        <f t="shared" si="8"/>
        <v>Y4-Y5</v>
      </c>
      <c r="C145" s="1">
        <f t="shared" si="8"/>
        <v>6</v>
      </c>
      <c r="D145" s="5">
        <f t="shared" si="8"/>
        <v>3</v>
      </c>
      <c r="E145" s="1">
        <v>0.23</v>
      </c>
      <c r="F145" s="5">
        <v>0.45</v>
      </c>
      <c r="G145" s="4">
        <f t="shared" si="9"/>
        <v>1.8630000000000002</v>
      </c>
      <c r="H145" s="1" t="s">
        <v>10</v>
      </c>
      <c r="I145" s="9"/>
    </row>
    <row r="146" spans="1:9">
      <c r="A146" s="18"/>
      <c r="B146" s="46" t="str">
        <f t="shared" si="8"/>
        <v>Y5-Y6</v>
      </c>
      <c r="C146" s="1">
        <f t="shared" si="8"/>
        <v>6</v>
      </c>
      <c r="D146" s="5">
        <f t="shared" si="8"/>
        <v>2.2000000000000002</v>
      </c>
      <c r="E146" s="1">
        <v>0.23</v>
      </c>
      <c r="F146" s="5">
        <v>0.45</v>
      </c>
      <c r="G146" s="4">
        <f t="shared" si="9"/>
        <v>1.3662000000000003</v>
      </c>
      <c r="H146" s="1" t="s">
        <v>10</v>
      </c>
      <c r="I146" s="9"/>
    </row>
    <row r="147" spans="1:9">
      <c r="A147" s="18"/>
      <c r="B147" s="46" t="str">
        <f t="shared" si="8"/>
        <v>Y6-Y7</v>
      </c>
      <c r="C147" s="1">
        <f t="shared" si="8"/>
        <v>5</v>
      </c>
      <c r="D147" s="5">
        <f t="shared" si="8"/>
        <v>5.2</v>
      </c>
      <c r="E147" s="1">
        <v>0.23</v>
      </c>
      <c r="F147" s="5">
        <v>0.45</v>
      </c>
      <c r="G147" s="4">
        <f t="shared" si="9"/>
        <v>2.6910000000000003</v>
      </c>
      <c r="H147" s="1" t="s">
        <v>10</v>
      </c>
      <c r="I147" s="9"/>
    </row>
    <row r="148" spans="1:9">
      <c r="A148" s="18"/>
      <c r="B148" s="46" t="str">
        <f t="shared" si="8"/>
        <v>Y7-Y8</v>
      </c>
      <c r="C148" s="1">
        <f t="shared" si="8"/>
        <v>5</v>
      </c>
      <c r="D148" s="5">
        <f t="shared" si="8"/>
        <v>2.5</v>
      </c>
      <c r="E148" s="1">
        <v>0.23</v>
      </c>
      <c r="F148" s="5">
        <v>0.45</v>
      </c>
      <c r="G148" s="4">
        <f t="shared" si="9"/>
        <v>1.29375</v>
      </c>
      <c r="H148" s="1" t="s">
        <v>10</v>
      </c>
      <c r="I148" s="9"/>
    </row>
    <row r="149" spans="1:9">
      <c r="A149" s="18"/>
      <c r="B149" s="46" t="str">
        <f t="shared" si="8"/>
        <v>Y8-Y9</v>
      </c>
      <c r="C149" s="1">
        <f t="shared" si="8"/>
        <v>5</v>
      </c>
      <c r="D149" s="5">
        <f t="shared" si="8"/>
        <v>2.5</v>
      </c>
      <c r="E149" s="1">
        <v>0.23</v>
      </c>
      <c r="F149" s="5">
        <v>0.45</v>
      </c>
      <c r="G149" s="4">
        <f t="shared" si="9"/>
        <v>1.29375</v>
      </c>
      <c r="H149" s="1" t="s">
        <v>10</v>
      </c>
      <c r="I149" s="9"/>
    </row>
    <row r="150" spans="1:9">
      <c r="A150" s="18"/>
      <c r="B150" s="46" t="str">
        <f t="shared" si="8"/>
        <v>Y9-Y10</v>
      </c>
      <c r="C150" s="1">
        <f t="shared" si="8"/>
        <v>6</v>
      </c>
      <c r="D150" s="5">
        <f t="shared" si="8"/>
        <v>5</v>
      </c>
      <c r="E150" s="1">
        <v>0.23</v>
      </c>
      <c r="F150" s="5">
        <v>0.45</v>
      </c>
      <c r="G150" s="4">
        <f t="shared" si="9"/>
        <v>3.1050000000000004</v>
      </c>
      <c r="H150" s="1" t="s">
        <v>10</v>
      </c>
      <c r="I150" s="9"/>
    </row>
    <row r="151" spans="1:9">
      <c r="A151" s="18"/>
      <c r="B151" s="46" t="str">
        <f t="shared" si="8"/>
        <v>Y10-Y11</v>
      </c>
      <c r="C151" s="1">
        <f t="shared" si="8"/>
        <v>6</v>
      </c>
      <c r="D151" s="5">
        <f t="shared" si="8"/>
        <v>5</v>
      </c>
      <c r="E151" s="1">
        <v>0.23</v>
      </c>
      <c r="F151" s="5">
        <v>0.45</v>
      </c>
      <c r="G151" s="4">
        <f t="shared" si="9"/>
        <v>3.1050000000000004</v>
      </c>
      <c r="H151" s="1" t="s">
        <v>10</v>
      </c>
      <c r="I151" s="9"/>
    </row>
    <row r="152" spans="1:9">
      <c r="A152" s="18"/>
      <c r="B152" s="46" t="str">
        <f t="shared" si="8"/>
        <v>X1-X2</v>
      </c>
      <c r="C152" s="1">
        <f t="shared" si="8"/>
        <v>4</v>
      </c>
      <c r="D152" s="5">
        <f t="shared" si="8"/>
        <v>0.79</v>
      </c>
      <c r="E152" s="1">
        <v>0.23</v>
      </c>
      <c r="F152" s="5">
        <v>0.45</v>
      </c>
      <c r="G152" s="4">
        <f t="shared" si="9"/>
        <v>0.32706000000000007</v>
      </c>
      <c r="H152" s="1" t="s">
        <v>10</v>
      </c>
      <c r="I152" s="9"/>
    </row>
    <row r="153" spans="1:9">
      <c r="A153" s="18"/>
      <c r="B153" s="46" t="str">
        <f t="shared" si="8"/>
        <v>X2-X3</v>
      </c>
      <c r="C153" s="1">
        <f t="shared" si="8"/>
        <v>4</v>
      </c>
      <c r="D153" s="5">
        <f t="shared" si="8"/>
        <v>1.2</v>
      </c>
      <c r="E153" s="1">
        <v>0.23</v>
      </c>
      <c r="F153" s="5">
        <v>0.45</v>
      </c>
      <c r="G153" s="4">
        <f t="shared" si="9"/>
        <v>0.49680000000000007</v>
      </c>
      <c r="H153" s="1" t="s">
        <v>10</v>
      </c>
      <c r="I153" s="9"/>
    </row>
    <row r="154" spans="1:9">
      <c r="A154" s="18"/>
      <c r="B154" s="46" t="str">
        <f t="shared" si="8"/>
        <v>X3-X4</v>
      </c>
      <c r="C154" s="1">
        <f t="shared" si="8"/>
        <v>9</v>
      </c>
      <c r="D154" s="5">
        <f t="shared" si="8"/>
        <v>4.5</v>
      </c>
      <c r="E154" s="1">
        <v>0.23</v>
      </c>
      <c r="F154" s="5">
        <v>0.45</v>
      </c>
      <c r="G154" s="4">
        <f t="shared" si="9"/>
        <v>4.1917500000000008</v>
      </c>
      <c r="H154" s="1" t="s">
        <v>10</v>
      </c>
      <c r="I154" s="9"/>
    </row>
    <row r="155" spans="1:9">
      <c r="A155" s="18"/>
      <c r="B155" s="46" t="str">
        <f t="shared" si="8"/>
        <v>X4-X5</v>
      </c>
      <c r="C155" s="1">
        <f t="shared" si="8"/>
        <v>9</v>
      </c>
      <c r="D155" s="5">
        <f t="shared" si="8"/>
        <v>4.5</v>
      </c>
      <c r="E155" s="1">
        <v>0.23</v>
      </c>
      <c r="F155" s="5">
        <v>0.45</v>
      </c>
      <c r="G155" s="4">
        <f t="shared" si="9"/>
        <v>4.1917500000000008</v>
      </c>
      <c r="H155" s="1" t="s">
        <v>10</v>
      </c>
      <c r="I155" s="9"/>
    </row>
    <row r="156" spans="1:9">
      <c r="A156" s="18"/>
      <c r="B156" s="46" t="str">
        <f t="shared" si="8"/>
        <v>X5-X6</v>
      </c>
      <c r="C156" s="1">
        <f t="shared" si="8"/>
        <v>10</v>
      </c>
      <c r="D156" s="5">
        <f t="shared" si="8"/>
        <v>2.5</v>
      </c>
      <c r="E156" s="1">
        <v>0.23</v>
      </c>
      <c r="F156" s="5">
        <v>0.45</v>
      </c>
      <c r="G156" s="4">
        <f t="shared" si="9"/>
        <v>2.5874999999999999</v>
      </c>
      <c r="H156" s="1" t="s">
        <v>10</v>
      </c>
      <c r="I156" s="9"/>
    </row>
    <row r="157" spans="1:9">
      <c r="A157" s="18"/>
      <c r="B157" s="46" t="str">
        <f t="shared" si="8"/>
        <v>X6-X7</v>
      </c>
      <c r="C157" s="1">
        <f t="shared" si="8"/>
        <v>10</v>
      </c>
      <c r="D157" s="5">
        <f t="shared" si="8"/>
        <v>2.5</v>
      </c>
      <c r="E157" s="1">
        <v>0.23</v>
      </c>
      <c r="F157" s="5">
        <v>0.45</v>
      </c>
      <c r="G157" s="4">
        <f t="shared" si="9"/>
        <v>2.5874999999999999</v>
      </c>
      <c r="H157" s="1" t="s">
        <v>10</v>
      </c>
      <c r="I157" s="9"/>
    </row>
    <row r="158" spans="1:9">
      <c r="A158" s="18"/>
      <c r="B158" s="46" t="str">
        <f t="shared" si="8"/>
        <v>X7-X8</v>
      </c>
      <c r="C158" s="1">
        <f t="shared" si="8"/>
        <v>9</v>
      </c>
      <c r="D158" s="5">
        <f t="shared" si="8"/>
        <v>1.25</v>
      </c>
      <c r="E158" s="1">
        <v>0.23</v>
      </c>
      <c r="F158" s="5">
        <v>0.45</v>
      </c>
      <c r="G158" s="4">
        <f t="shared" si="9"/>
        <v>1.1643749999999999</v>
      </c>
      <c r="H158" s="1" t="s">
        <v>10</v>
      </c>
      <c r="I158" s="9"/>
    </row>
    <row r="159" spans="1:9">
      <c r="A159" s="18"/>
      <c r="B159" s="46" t="str">
        <f t="shared" si="8"/>
        <v>X8-X9</v>
      </c>
      <c r="C159" s="1">
        <f t="shared" si="8"/>
        <v>9</v>
      </c>
      <c r="D159" s="5">
        <f t="shared" si="8"/>
        <v>3.75</v>
      </c>
      <c r="E159" s="1">
        <v>0.23</v>
      </c>
      <c r="F159" s="5">
        <v>0.45</v>
      </c>
      <c r="G159" s="4">
        <f t="shared" si="9"/>
        <v>3.493125</v>
      </c>
      <c r="H159" s="1" t="s">
        <v>10</v>
      </c>
      <c r="I159" s="9"/>
    </row>
    <row r="160" spans="1:9">
      <c r="A160" s="18"/>
      <c r="B160" s="46" t="str">
        <f t="shared" si="8"/>
        <v>X9-X10</v>
      </c>
      <c r="C160" s="1">
        <f t="shared" si="8"/>
        <v>9</v>
      </c>
      <c r="D160" s="5">
        <f t="shared" si="8"/>
        <v>3.5</v>
      </c>
      <c r="E160" s="1">
        <v>0.23</v>
      </c>
      <c r="F160" s="5">
        <v>0.45</v>
      </c>
      <c r="G160" s="4">
        <f t="shared" si="9"/>
        <v>3.2602500000000001</v>
      </c>
      <c r="H160" s="1" t="s">
        <v>10</v>
      </c>
      <c r="I160" s="9"/>
    </row>
    <row r="161" spans="1:9">
      <c r="A161" s="18"/>
      <c r="B161" s="9"/>
      <c r="C161" s="1"/>
      <c r="D161" s="5"/>
      <c r="E161" s="5"/>
      <c r="F161" s="5"/>
      <c r="G161" s="4"/>
      <c r="H161" s="1"/>
      <c r="I161" s="9"/>
    </row>
    <row r="162" spans="1:9">
      <c r="A162" s="46"/>
      <c r="B162" s="8"/>
      <c r="C162" s="1"/>
      <c r="D162" s="5"/>
      <c r="E162" s="5"/>
      <c r="F162" s="34" t="s">
        <v>11</v>
      </c>
      <c r="G162" s="53">
        <f>SUM(G133:G161)</f>
        <v>323.05491000000006</v>
      </c>
      <c r="H162" s="50" t="s">
        <v>12</v>
      </c>
      <c r="I162" s="9"/>
    </row>
    <row r="163" spans="1:9">
      <c r="A163" s="46"/>
      <c r="B163" s="9"/>
      <c r="C163" s="1"/>
      <c r="D163" s="1"/>
      <c r="E163" s="1"/>
      <c r="F163" s="56" t="s">
        <v>13</v>
      </c>
      <c r="G163" s="27">
        <f>ROUNDUP(G162,0)</f>
        <v>324</v>
      </c>
      <c r="H163" s="28" t="s">
        <v>9</v>
      </c>
      <c r="I163" s="9"/>
    </row>
    <row r="164" spans="1:9">
      <c r="A164" s="46"/>
      <c r="B164" s="9"/>
      <c r="C164" s="1"/>
      <c r="D164" s="1"/>
      <c r="E164" s="1"/>
      <c r="F164" s="1"/>
      <c r="G164" s="33"/>
      <c r="H164" s="24"/>
      <c r="I164" s="9"/>
    </row>
    <row r="165" spans="1:9">
      <c r="A165" s="46"/>
      <c r="B165" s="9"/>
      <c r="C165" s="1"/>
      <c r="D165" s="1"/>
      <c r="E165" s="1"/>
      <c r="F165" s="1"/>
      <c r="G165" s="33"/>
      <c r="H165" s="24"/>
      <c r="I165" s="9"/>
    </row>
    <row r="166" spans="1:9">
      <c r="A166" s="46"/>
      <c r="B166" s="51" t="s">
        <v>566</v>
      </c>
      <c r="C166" s="1"/>
      <c r="D166" s="1"/>
      <c r="E166" s="1"/>
      <c r="F166" s="1"/>
      <c r="G166" s="33"/>
      <c r="H166" s="24"/>
      <c r="I166" s="9"/>
    </row>
    <row r="167" spans="1:9">
      <c r="A167" s="18">
        <f>A132+1</f>
        <v>9</v>
      </c>
      <c r="B167" s="9" t="s">
        <v>48</v>
      </c>
      <c r="C167" s="1"/>
      <c r="D167" s="5"/>
      <c r="E167" s="1"/>
      <c r="F167" s="5"/>
      <c r="G167" s="4"/>
      <c r="H167" s="1"/>
      <c r="I167" s="9"/>
    </row>
    <row r="168" spans="1:9">
      <c r="A168" s="18"/>
      <c r="B168" s="15" t="s">
        <v>56</v>
      </c>
      <c r="C168" s="1"/>
      <c r="D168" s="5"/>
      <c r="E168" s="1"/>
      <c r="F168" s="5"/>
      <c r="G168" s="4"/>
      <c r="H168" s="1"/>
      <c r="I168" s="9"/>
    </row>
    <row r="169" spans="1:9">
      <c r="A169" s="13"/>
      <c r="B169" s="46" t="s">
        <v>412</v>
      </c>
      <c r="C169" s="1">
        <v>41</v>
      </c>
      <c r="D169" s="5">
        <v>0.6</v>
      </c>
      <c r="E169" s="5">
        <v>0.6</v>
      </c>
      <c r="F169" s="5">
        <v>0.45</v>
      </c>
      <c r="G169" s="4">
        <f>C169*D169*E169*F169</f>
        <v>6.6419999999999995</v>
      </c>
      <c r="H169" s="1" t="s">
        <v>12</v>
      </c>
      <c r="I169" s="9"/>
    </row>
    <row r="170" spans="1:9">
      <c r="A170" s="13"/>
      <c r="B170" s="46"/>
      <c r="C170" s="1">
        <v>8</v>
      </c>
      <c r="D170" s="5">
        <v>0.6</v>
      </c>
      <c r="E170" s="5">
        <v>0.8</v>
      </c>
      <c r="F170" s="5">
        <v>0.6</v>
      </c>
      <c r="G170" s="4">
        <f t="shared" ref="G170:G181" si="10">C170*D170*E170*F170</f>
        <v>2.3039999999999998</v>
      </c>
      <c r="H170" s="1" t="s">
        <v>10</v>
      </c>
      <c r="I170" s="9"/>
    </row>
    <row r="171" spans="1:9">
      <c r="A171" s="13"/>
      <c r="B171" s="46"/>
      <c r="C171" s="1">
        <v>9</v>
      </c>
      <c r="D171" s="5">
        <v>0.45</v>
      </c>
      <c r="E171" s="5">
        <v>0.45</v>
      </c>
      <c r="F171" s="5">
        <v>0.45</v>
      </c>
      <c r="G171" s="4">
        <f t="shared" si="10"/>
        <v>0.82012499999999999</v>
      </c>
      <c r="H171" s="1" t="s">
        <v>10</v>
      </c>
      <c r="I171" s="9"/>
    </row>
    <row r="172" spans="1:9">
      <c r="A172" s="13"/>
      <c r="B172" s="46" t="s">
        <v>69</v>
      </c>
      <c r="C172" s="1">
        <v>41</v>
      </c>
      <c r="D172" s="5">
        <v>0.38</v>
      </c>
      <c r="E172" s="5">
        <v>0.38</v>
      </c>
      <c r="F172" s="5">
        <f>2.5-0.2-0.1-0.45-0.45+1.2</f>
        <v>2.5</v>
      </c>
      <c r="G172" s="4">
        <f t="shared" si="10"/>
        <v>14.801</v>
      </c>
      <c r="H172" s="1" t="s">
        <v>10</v>
      </c>
      <c r="I172" s="9"/>
    </row>
    <row r="173" spans="1:9">
      <c r="A173" s="13"/>
      <c r="B173" s="46"/>
      <c r="C173" s="1">
        <v>8</v>
      </c>
      <c r="D173" s="5">
        <v>0.38</v>
      </c>
      <c r="E173" s="5">
        <v>0.53</v>
      </c>
      <c r="F173" s="5">
        <f>2.5-0.2-0.1-0.45-0.45+1.2</f>
        <v>2.5</v>
      </c>
      <c r="G173" s="4">
        <f t="shared" si="10"/>
        <v>4.0280000000000005</v>
      </c>
      <c r="H173" s="1" t="s">
        <v>10</v>
      </c>
      <c r="I173" s="9"/>
    </row>
    <row r="174" spans="1:9">
      <c r="A174" s="13"/>
      <c r="B174" s="46"/>
      <c r="C174" s="1">
        <v>9</v>
      </c>
      <c r="D174" s="5">
        <v>0.3</v>
      </c>
      <c r="E174" s="5">
        <v>0.3</v>
      </c>
      <c r="F174" s="5">
        <f>2.5-0.2-0.1-0.45-0.45+1.2</f>
        <v>2.5</v>
      </c>
      <c r="G174" s="4">
        <f t="shared" si="10"/>
        <v>2.0249999999999999</v>
      </c>
      <c r="H174" s="1" t="s">
        <v>10</v>
      </c>
      <c r="I174" s="9"/>
    </row>
    <row r="175" spans="1:9">
      <c r="A175" s="13"/>
      <c r="B175" s="46"/>
      <c r="C175" s="1">
        <v>4</v>
      </c>
      <c r="D175" s="5">
        <v>0.23</v>
      </c>
      <c r="E175" s="5">
        <v>0.3</v>
      </c>
      <c r="F175" s="5">
        <f>2.5-0.2-0.1-0.45-0.45+1.2</f>
        <v>2.5</v>
      </c>
      <c r="G175" s="4">
        <f t="shared" si="10"/>
        <v>0.69000000000000006</v>
      </c>
      <c r="H175" s="1" t="s">
        <v>10</v>
      </c>
      <c r="I175" s="9"/>
    </row>
    <row r="176" spans="1:9">
      <c r="A176" s="13"/>
      <c r="B176" s="46" t="s">
        <v>70</v>
      </c>
      <c r="C176" s="1">
        <v>36</v>
      </c>
      <c r="D176" s="5">
        <v>0.38</v>
      </c>
      <c r="E176" s="5">
        <v>0.38</v>
      </c>
      <c r="F176" s="5">
        <v>4.5</v>
      </c>
      <c r="G176" s="4">
        <f t="shared" si="10"/>
        <v>23.392800000000001</v>
      </c>
      <c r="H176" s="1" t="s">
        <v>10</v>
      </c>
      <c r="I176" s="9"/>
    </row>
    <row r="177" spans="1:9">
      <c r="A177" s="13"/>
      <c r="B177" s="46"/>
      <c r="C177" s="1">
        <v>5</v>
      </c>
      <c r="D177" s="5">
        <v>0.38</v>
      </c>
      <c r="E177" s="5">
        <v>0.38</v>
      </c>
      <c r="F177" s="5">
        <v>0.5</v>
      </c>
      <c r="G177" s="4">
        <f t="shared" si="10"/>
        <v>0.36099999999999999</v>
      </c>
      <c r="H177" s="1" t="s">
        <v>10</v>
      </c>
      <c r="I177" s="9"/>
    </row>
    <row r="178" spans="1:9">
      <c r="A178" s="13"/>
      <c r="B178" s="46"/>
      <c r="C178" s="1">
        <v>8</v>
      </c>
      <c r="D178" s="5">
        <v>0.38</v>
      </c>
      <c r="E178" s="5">
        <v>0.53</v>
      </c>
      <c r="F178" s="5">
        <v>7.9</v>
      </c>
      <c r="G178" s="4">
        <f t="shared" si="10"/>
        <v>12.728480000000003</v>
      </c>
      <c r="H178" s="1" t="s">
        <v>10</v>
      </c>
      <c r="I178" s="9"/>
    </row>
    <row r="179" spans="1:9">
      <c r="A179" s="13"/>
      <c r="B179" s="46"/>
      <c r="C179" s="1">
        <v>9</v>
      </c>
      <c r="D179" s="5">
        <v>0.3</v>
      </c>
      <c r="E179" s="5">
        <v>0.3</v>
      </c>
      <c r="F179" s="5">
        <v>1.8</v>
      </c>
      <c r="G179" s="4">
        <f t="shared" si="10"/>
        <v>1.458</v>
      </c>
      <c r="H179" s="1" t="s">
        <v>10</v>
      </c>
      <c r="I179" s="9"/>
    </row>
    <row r="180" spans="1:9">
      <c r="A180" s="13"/>
      <c r="B180" s="46"/>
      <c r="C180" s="1">
        <v>2</v>
      </c>
      <c r="D180" s="5">
        <v>0.23</v>
      </c>
      <c r="E180" s="5">
        <v>0.3</v>
      </c>
      <c r="F180" s="5">
        <v>0.5</v>
      </c>
      <c r="G180" s="4">
        <f t="shared" si="10"/>
        <v>6.9000000000000006E-2</v>
      </c>
      <c r="H180" s="1" t="s">
        <v>10</v>
      </c>
      <c r="I180" s="9"/>
    </row>
    <row r="181" spans="1:9">
      <c r="A181" s="13"/>
      <c r="B181" s="46"/>
      <c r="C181" s="1">
        <v>2</v>
      </c>
      <c r="D181" s="5">
        <v>0.23</v>
      </c>
      <c r="E181" s="5">
        <v>0.3</v>
      </c>
      <c r="F181" s="5">
        <v>4.5</v>
      </c>
      <c r="G181" s="4">
        <f t="shared" si="10"/>
        <v>0.621</v>
      </c>
      <c r="H181" s="1" t="s">
        <v>10</v>
      </c>
      <c r="I181" s="9"/>
    </row>
    <row r="182" spans="1:9">
      <c r="A182" s="13"/>
      <c r="B182" s="46"/>
      <c r="C182" s="1"/>
      <c r="D182" s="5"/>
      <c r="E182" s="5"/>
      <c r="F182" s="5"/>
      <c r="G182" s="4"/>
      <c r="H182" s="1"/>
      <c r="I182" s="9"/>
    </row>
    <row r="183" spans="1:9">
      <c r="A183" s="13"/>
      <c r="B183" s="9"/>
      <c r="C183" s="1"/>
      <c r="D183" s="1"/>
      <c r="E183" s="1"/>
      <c r="F183" s="34" t="s">
        <v>11</v>
      </c>
      <c r="G183" s="53">
        <f>SUM(G169:G182)</f>
        <v>69.940404999999984</v>
      </c>
      <c r="H183" s="50" t="s">
        <v>12</v>
      </c>
      <c r="I183" s="9"/>
    </row>
    <row r="184" spans="1:9">
      <c r="A184" s="13"/>
      <c r="B184" s="6"/>
      <c r="C184" s="1"/>
      <c r="D184" s="1"/>
      <c r="E184" s="1"/>
      <c r="F184" s="56" t="s">
        <v>13</v>
      </c>
      <c r="G184" s="27">
        <f>ROUNDUP(G183,0)</f>
        <v>70</v>
      </c>
      <c r="H184" s="28" t="s">
        <v>9</v>
      </c>
      <c r="I184" s="9"/>
    </row>
    <row r="185" spans="1:9">
      <c r="A185" s="13"/>
      <c r="C185" s="1"/>
      <c r="D185" s="1"/>
      <c r="E185" s="1"/>
      <c r="F185" s="1"/>
      <c r="G185" s="33"/>
      <c r="H185" s="24"/>
      <c r="I185" s="9"/>
    </row>
    <row r="186" spans="1:9">
      <c r="A186" s="13"/>
      <c r="B186" s="15" t="s">
        <v>445</v>
      </c>
      <c r="C186" s="1"/>
      <c r="D186" s="5"/>
      <c r="E186" s="1"/>
      <c r="F186" s="5"/>
      <c r="G186" s="4"/>
      <c r="H186" s="1"/>
      <c r="I186" s="9"/>
    </row>
    <row r="187" spans="1:9">
      <c r="A187" s="13"/>
      <c r="B187" s="46"/>
      <c r="C187" s="1">
        <v>30</v>
      </c>
      <c r="D187" s="5">
        <v>0.38</v>
      </c>
      <c r="E187" s="5">
        <v>0.38</v>
      </c>
      <c r="F187" s="5">
        <v>4</v>
      </c>
      <c r="G187" s="4">
        <f>C187*D187*E187*F187</f>
        <v>17.327999999999999</v>
      </c>
      <c r="H187" s="1" t="s">
        <v>12</v>
      </c>
      <c r="I187" s="9"/>
    </row>
    <row r="188" spans="1:9">
      <c r="A188" s="13"/>
      <c r="B188" s="46"/>
      <c r="C188" s="1">
        <v>9</v>
      </c>
      <c r="D188" s="5">
        <v>0.3</v>
      </c>
      <c r="E188" s="5">
        <v>0.3</v>
      </c>
      <c r="F188" s="5">
        <v>1.8</v>
      </c>
      <c r="G188" s="4">
        <f>C188*D188*E188*F188</f>
        <v>1.458</v>
      </c>
      <c r="H188" s="1" t="s">
        <v>10</v>
      </c>
      <c r="I188" s="9"/>
    </row>
    <row r="189" spans="1:9">
      <c r="A189" s="13"/>
      <c r="B189" s="46"/>
      <c r="C189" s="1">
        <v>2</v>
      </c>
      <c r="D189" s="5">
        <v>0.23</v>
      </c>
      <c r="E189" s="5">
        <v>0.3</v>
      </c>
      <c r="F189" s="5">
        <v>4</v>
      </c>
      <c r="G189" s="4">
        <f>C189*D189*E189*F189</f>
        <v>0.55200000000000005</v>
      </c>
      <c r="H189" s="1" t="s">
        <v>10</v>
      </c>
      <c r="I189" s="9"/>
    </row>
    <row r="190" spans="1:9">
      <c r="A190" s="13"/>
      <c r="B190" s="9"/>
      <c r="C190" s="1"/>
      <c r="D190" s="5"/>
      <c r="E190" s="1"/>
      <c r="F190" s="1"/>
      <c r="G190" s="4"/>
      <c r="I190" s="9"/>
    </row>
    <row r="191" spans="1:9">
      <c r="A191" s="13"/>
      <c r="B191" s="9"/>
      <c r="C191" s="1"/>
      <c r="D191" s="1"/>
      <c r="E191" s="1"/>
      <c r="F191" s="34" t="s">
        <v>11</v>
      </c>
      <c r="G191" s="53">
        <f>SUM(G187:G190)</f>
        <v>19.337999999999997</v>
      </c>
      <c r="H191" s="50" t="s">
        <v>12</v>
      </c>
      <c r="I191" s="9"/>
    </row>
    <row r="192" spans="1:9">
      <c r="A192" s="13"/>
      <c r="B192" s="6"/>
      <c r="C192" s="1"/>
      <c r="D192" s="1"/>
      <c r="E192" s="1"/>
      <c r="F192" s="56" t="s">
        <v>13</v>
      </c>
      <c r="G192" s="27">
        <f>ROUNDUP(G191,0)</f>
        <v>20</v>
      </c>
      <c r="H192" s="28" t="s">
        <v>9</v>
      </c>
      <c r="I192" s="9"/>
    </row>
    <row r="193" spans="1:9">
      <c r="A193" s="13"/>
      <c r="B193" s="6"/>
      <c r="C193" s="1"/>
      <c r="D193" s="1"/>
      <c r="E193" s="1"/>
      <c r="F193" s="1"/>
      <c r="G193" s="33"/>
      <c r="H193" s="24"/>
      <c r="I193" s="9"/>
    </row>
    <row r="194" spans="1:9">
      <c r="A194" s="13"/>
      <c r="B194" s="15" t="s">
        <v>57</v>
      </c>
      <c r="C194" s="1"/>
      <c r="D194" s="5"/>
      <c r="E194" s="1"/>
      <c r="F194" s="5"/>
      <c r="G194" s="4"/>
      <c r="H194" s="1"/>
      <c r="I194" s="9"/>
    </row>
    <row r="195" spans="1:9">
      <c r="A195" s="13"/>
      <c r="B195" s="46"/>
      <c r="C195" s="1">
        <v>20</v>
      </c>
      <c r="D195" s="5">
        <v>0.38</v>
      </c>
      <c r="E195" s="5">
        <v>0.38</v>
      </c>
      <c r="F195" s="5">
        <f>3.5+0.9</f>
        <v>4.4000000000000004</v>
      </c>
      <c r="G195" s="4">
        <f>C195*D195*E195*F195</f>
        <v>12.7072</v>
      </c>
      <c r="H195" s="1" t="s">
        <v>12</v>
      </c>
      <c r="I195" s="9"/>
    </row>
    <row r="196" spans="1:9">
      <c r="A196" s="13"/>
      <c r="B196" s="6"/>
      <c r="C196" s="1"/>
      <c r="D196" s="1"/>
      <c r="E196" s="1"/>
      <c r="F196" s="56" t="s">
        <v>13</v>
      </c>
      <c r="G196" s="27">
        <f>ROUNDUP(G195,0)</f>
        <v>13</v>
      </c>
      <c r="H196" s="28" t="s">
        <v>9</v>
      </c>
      <c r="I196" s="9"/>
    </row>
    <row r="197" spans="1:9">
      <c r="A197" s="13"/>
      <c r="B197" s="51"/>
      <c r="C197" s="1"/>
      <c r="D197" s="1"/>
      <c r="E197" s="1"/>
      <c r="F197" s="1"/>
      <c r="G197" s="33"/>
      <c r="H197" s="24"/>
      <c r="I197" s="9"/>
    </row>
    <row r="198" spans="1:9">
      <c r="A198" s="13"/>
      <c r="B198" s="15" t="s">
        <v>463</v>
      </c>
      <c r="C198" s="1"/>
      <c r="D198" s="5"/>
      <c r="E198" s="1"/>
      <c r="F198" s="5"/>
      <c r="G198" s="4"/>
      <c r="H198" s="1"/>
      <c r="I198" s="9"/>
    </row>
    <row r="199" spans="1:9">
      <c r="A199" s="13"/>
      <c r="B199" s="46" t="s">
        <v>449</v>
      </c>
      <c r="C199" s="1">
        <v>6</v>
      </c>
      <c r="D199" s="5">
        <v>0.38</v>
      </c>
      <c r="E199" s="5">
        <v>0.38</v>
      </c>
      <c r="F199" s="5">
        <v>3</v>
      </c>
      <c r="G199" s="4">
        <f>C199*D199*E199*F199</f>
        <v>2.5992000000000002</v>
      </c>
      <c r="H199" s="1" t="s">
        <v>12</v>
      </c>
      <c r="I199" s="9"/>
    </row>
    <row r="200" spans="1:9">
      <c r="A200" s="13"/>
      <c r="B200" s="46" t="s">
        <v>597</v>
      </c>
      <c r="C200" s="1">
        <v>4</v>
      </c>
      <c r="D200" s="5">
        <v>0.38</v>
      </c>
      <c r="E200" s="5">
        <v>0.38</v>
      </c>
      <c r="F200" s="5">
        <f>2.45+0.45</f>
        <v>2.9000000000000004</v>
      </c>
      <c r="G200" s="4">
        <f>C200*D200*E200*F200</f>
        <v>1.6750400000000003</v>
      </c>
      <c r="H200" s="1" t="s">
        <v>10</v>
      </c>
      <c r="I200" s="9"/>
    </row>
    <row r="201" spans="1:9">
      <c r="A201" s="13"/>
      <c r="B201" s="46" t="s">
        <v>462</v>
      </c>
      <c r="C201" s="1">
        <v>4</v>
      </c>
      <c r="D201" s="5">
        <v>0.38</v>
      </c>
      <c r="E201" s="5">
        <v>0.38</v>
      </c>
      <c r="F201" s="5">
        <v>3.65</v>
      </c>
      <c r="G201" s="4">
        <f>C201*D201*E201*F201</f>
        <v>2.1082399999999999</v>
      </c>
      <c r="H201" s="1" t="s">
        <v>10</v>
      </c>
      <c r="I201" s="9"/>
    </row>
    <row r="202" spans="1:9">
      <c r="A202" s="13"/>
      <c r="B202" s="9"/>
      <c r="C202" s="1"/>
      <c r="D202" s="5"/>
      <c r="E202" s="1"/>
      <c r="F202" s="1"/>
      <c r="G202" s="4"/>
      <c r="I202" s="9"/>
    </row>
    <row r="203" spans="1:9">
      <c r="A203" s="13"/>
      <c r="B203" s="9"/>
      <c r="C203" s="1"/>
      <c r="D203" s="1"/>
      <c r="E203" s="1"/>
      <c r="F203" s="34" t="s">
        <v>11</v>
      </c>
      <c r="G203" s="53">
        <f>SUM(G199:G202)</f>
        <v>6.382480000000001</v>
      </c>
      <c r="H203" s="50" t="s">
        <v>12</v>
      </c>
      <c r="I203" s="9"/>
    </row>
    <row r="204" spans="1:9">
      <c r="A204" s="13"/>
      <c r="B204" s="6"/>
      <c r="C204" s="1"/>
      <c r="D204" s="1"/>
      <c r="E204" s="1"/>
      <c r="F204" s="56" t="s">
        <v>13</v>
      </c>
      <c r="G204" s="27">
        <f>ROUNDUP(G203,0)</f>
        <v>7</v>
      </c>
      <c r="H204" s="28" t="s">
        <v>9</v>
      </c>
      <c r="I204" s="9"/>
    </row>
    <row r="205" spans="1:9">
      <c r="A205" s="13"/>
      <c r="B205" s="51"/>
      <c r="C205" s="1"/>
      <c r="D205" s="1"/>
      <c r="E205" s="1"/>
      <c r="F205" s="1"/>
      <c r="G205" s="33"/>
      <c r="H205" s="24"/>
      <c r="I205" s="9"/>
    </row>
    <row r="206" spans="1:9">
      <c r="A206" s="18">
        <f>A167+1</f>
        <v>10</v>
      </c>
      <c r="B206" s="9" t="s">
        <v>39</v>
      </c>
      <c r="C206" s="1"/>
      <c r="D206" s="5"/>
      <c r="E206" s="1"/>
      <c r="F206" s="5"/>
      <c r="G206" s="4"/>
      <c r="H206" s="1"/>
      <c r="I206" s="9"/>
    </row>
    <row r="207" spans="1:9">
      <c r="A207" s="13"/>
      <c r="B207" s="46" t="str">
        <f t="shared" ref="B207:D225" si="11">B71</f>
        <v>Y1-Y2</v>
      </c>
      <c r="C207" s="1">
        <f t="shared" si="11"/>
        <v>7</v>
      </c>
      <c r="D207" s="5">
        <f t="shared" si="11"/>
        <v>5.2</v>
      </c>
      <c r="E207" s="5">
        <v>0.23</v>
      </c>
      <c r="F207" s="5">
        <v>0.45</v>
      </c>
      <c r="G207" s="4">
        <f>C207*D207*E207*F207</f>
        <v>3.7673999999999999</v>
      </c>
      <c r="H207" s="1" t="s">
        <v>12</v>
      </c>
      <c r="I207" s="9"/>
    </row>
    <row r="208" spans="1:9">
      <c r="A208" s="13"/>
      <c r="B208" s="46" t="str">
        <f t="shared" si="11"/>
        <v>Y2-Y3</v>
      </c>
      <c r="C208" s="1">
        <f t="shared" si="11"/>
        <v>7</v>
      </c>
      <c r="D208" s="5">
        <f t="shared" si="11"/>
        <v>5.2</v>
      </c>
      <c r="E208" s="5">
        <v>0.23</v>
      </c>
      <c r="F208" s="5">
        <v>0.45</v>
      </c>
      <c r="G208" s="4">
        <f t="shared" ref="G208:G225" si="12">C208*D208*E208*F208</f>
        <v>3.7673999999999999</v>
      </c>
      <c r="H208" s="1" t="s">
        <v>10</v>
      </c>
      <c r="I208" s="9"/>
    </row>
    <row r="209" spans="1:9">
      <c r="A209" s="13"/>
      <c r="B209" s="46" t="str">
        <f t="shared" si="11"/>
        <v>Y3-Y4</v>
      </c>
      <c r="C209" s="1">
        <f t="shared" si="11"/>
        <v>6</v>
      </c>
      <c r="D209" s="5">
        <f t="shared" si="11"/>
        <v>5.2</v>
      </c>
      <c r="E209" s="5">
        <v>0.23</v>
      </c>
      <c r="F209" s="5">
        <v>0.45</v>
      </c>
      <c r="G209" s="4">
        <f t="shared" si="12"/>
        <v>3.2292000000000005</v>
      </c>
      <c r="H209" s="1" t="s">
        <v>10</v>
      </c>
      <c r="I209" s="9"/>
    </row>
    <row r="210" spans="1:9">
      <c r="A210" s="13"/>
      <c r="B210" s="46" t="str">
        <f t="shared" si="11"/>
        <v>Y4-Y5</v>
      </c>
      <c r="C210" s="1">
        <f t="shared" si="11"/>
        <v>9</v>
      </c>
      <c r="D210" s="5">
        <f t="shared" si="11"/>
        <v>3</v>
      </c>
      <c r="E210" s="5">
        <v>0.23</v>
      </c>
      <c r="F210" s="5">
        <v>0.45</v>
      </c>
      <c r="G210" s="4">
        <f t="shared" si="12"/>
        <v>2.7945000000000002</v>
      </c>
      <c r="H210" s="1" t="s">
        <v>10</v>
      </c>
      <c r="I210" s="9"/>
    </row>
    <row r="211" spans="1:9">
      <c r="A211" s="13"/>
      <c r="B211" s="46" t="str">
        <f t="shared" si="11"/>
        <v>Y5-Y6</v>
      </c>
      <c r="C211" s="1">
        <f t="shared" si="11"/>
        <v>6</v>
      </c>
      <c r="D211" s="5">
        <f t="shared" si="11"/>
        <v>2.2000000000000002</v>
      </c>
      <c r="E211" s="5">
        <v>0.23</v>
      </c>
      <c r="F211" s="5">
        <v>0.45</v>
      </c>
      <c r="G211" s="4">
        <f t="shared" si="12"/>
        <v>1.3662000000000003</v>
      </c>
      <c r="H211" s="1" t="s">
        <v>10</v>
      </c>
      <c r="I211" s="9"/>
    </row>
    <row r="212" spans="1:9">
      <c r="A212" s="13"/>
      <c r="B212" s="46" t="str">
        <f t="shared" si="11"/>
        <v>Y6-Y7</v>
      </c>
      <c r="C212" s="1">
        <f t="shared" si="11"/>
        <v>5</v>
      </c>
      <c r="D212" s="5">
        <f t="shared" si="11"/>
        <v>5.2</v>
      </c>
      <c r="E212" s="5">
        <v>0.23</v>
      </c>
      <c r="F212" s="5">
        <v>0.45</v>
      </c>
      <c r="G212" s="4">
        <f t="shared" si="12"/>
        <v>2.6910000000000003</v>
      </c>
      <c r="H212" s="1" t="s">
        <v>10</v>
      </c>
      <c r="I212" s="9"/>
    </row>
    <row r="213" spans="1:9">
      <c r="A213" s="13"/>
      <c r="B213" s="46" t="str">
        <f t="shared" si="11"/>
        <v>Y7-Y8</v>
      </c>
      <c r="C213" s="1">
        <f t="shared" si="11"/>
        <v>5</v>
      </c>
      <c r="D213" s="5">
        <f t="shared" si="11"/>
        <v>2.5</v>
      </c>
      <c r="E213" s="5">
        <v>0.23</v>
      </c>
      <c r="F213" s="5">
        <v>0.45</v>
      </c>
      <c r="G213" s="4">
        <f t="shared" si="12"/>
        <v>1.29375</v>
      </c>
      <c r="H213" s="1" t="s">
        <v>10</v>
      </c>
      <c r="I213" s="9"/>
    </row>
    <row r="214" spans="1:9">
      <c r="A214" s="13"/>
      <c r="B214" s="46" t="str">
        <f t="shared" si="11"/>
        <v>Y8-Y9</v>
      </c>
      <c r="C214" s="1">
        <f t="shared" si="11"/>
        <v>5</v>
      </c>
      <c r="D214" s="5">
        <f t="shared" si="11"/>
        <v>2.5</v>
      </c>
      <c r="E214" s="5">
        <v>0.23</v>
      </c>
      <c r="F214" s="5">
        <v>0.45</v>
      </c>
      <c r="G214" s="4">
        <f t="shared" si="12"/>
        <v>1.29375</v>
      </c>
      <c r="H214" s="1" t="s">
        <v>10</v>
      </c>
      <c r="I214" s="9"/>
    </row>
    <row r="215" spans="1:9">
      <c r="A215" s="13"/>
      <c r="B215" s="46" t="str">
        <f t="shared" si="11"/>
        <v>Y9-Y10</v>
      </c>
      <c r="C215" s="1">
        <f t="shared" si="11"/>
        <v>7</v>
      </c>
      <c r="D215" s="5">
        <f t="shared" si="11"/>
        <v>5</v>
      </c>
      <c r="E215" s="5">
        <v>0.23</v>
      </c>
      <c r="F215" s="5">
        <v>0.45</v>
      </c>
      <c r="G215" s="4">
        <f t="shared" si="12"/>
        <v>3.6225000000000005</v>
      </c>
      <c r="H215" s="1" t="s">
        <v>10</v>
      </c>
      <c r="I215" s="9"/>
    </row>
    <row r="216" spans="1:9">
      <c r="A216" s="13"/>
      <c r="B216" s="46" t="str">
        <f t="shared" si="11"/>
        <v>Y10-Y11</v>
      </c>
      <c r="C216" s="1">
        <f t="shared" si="11"/>
        <v>8</v>
      </c>
      <c r="D216" s="5">
        <f t="shared" si="11"/>
        <v>5</v>
      </c>
      <c r="E216" s="5">
        <v>0.23</v>
      </c>
      <c r="F216" s="5">
        <v>0.45</v>
      </c>
      <c r="G216" s="4">
        <f t="shared" si="12"/>
        <v>4.1400000000000006</v>
      </c>
      <c r="H216" s="1" t="s">
        <v>10</v>
      </c>
      <c r="I216" s="9"/>
    </row>
    <row r="217" spans="1:9">
      <c r="A217" s="13"/>
      <c r="B217" s="46" t="str">
        <f t="shared" si="11"/>
        <v>X1-X2</v>
      </c>
      <c r="C217" s="1">
        <f t="shared" si="11"/>
        <v>4</v>
      </c>
      <c r="D217" s="5">
        <f t="shared" si="11"/>
        <v>0.79</v>
      </c>
      <c r="E217" s="5">
        <v>0.23</v>
      </c>
      <c r="F217" s="5">
        <v>0.45</v>
      </c>
      <c r="G217" s="4">
        <f t="shared" si="12"/>
        <v>0.32706000000000007</v>
      </c>
      <c r="H217" s="1" t="s">
        <v>10</v>
      </c>
      <c r="I217" s="9"/>
    </row>
    <row r="218" spans="1:9">
      <c r="A218" s="13"/>
      <c r="B218" s="46" t="str">
        <f t="shared" si="11"/>
        <v>X2-X3</v>
      </c>
      <c r="C218" s="1">
        <f t="shared" si="11"/>
        <v>4</v>
      </c>
      <c r="D218" s="5">
        <f t="shared" si="11"/>
        <v>1.2</v>
      </c>
      <c r="E218" s="5">
        <v>0.23</v>
      </c>
      <c r="F218" s="5">
        <v>0.45</v>
      </c>
      <c r="G218" s="4">
        <f t="shared" si="12"/>
        <v>0.49680000000000007</v>
      </c>
      <c r="H218" s="1" t="s">
        <v>10</v>
      </c>
      <c r="I218" s="9"/>
    </row>
    <row r="219" spans="1:9">
      <c r="A219" s="13"/>
      <c r="B219" s="46" t="str">
        <f t="shared" si="11"/>
        <v>X3-X4</v>
      </c>
      <c r="C219" s="1">
        <f t="shared" si="11"/>
        <v>12</v>
      </c>
      <c r="D219" s="5">
        <f t="shared" si="11"/>
        <v>4.5</v>
      </c>
      <c r="E219" s="5">
        <v>0.23</v>
      </c>
      <c r="F219" s="5">
        <v>0.45</v>
      </c>
      <c r="G219" s="4">
        <f t="shared" si="12"/>
        <v>5.5890000000000004</v>
      </c>
      <c r="H219" s="1" t="s">
        <v>10</v>
      </c>
      <c r="I219" s="9"/>
    </row>
    <row r="220" spans="1:9">
      <c r="A220" s="13"/>
      <c r="B220" s="46" t="str">
        <f t="shared" si="11"/>
        <v>X4-X5</v>
      </c>
      <c r="C220" s="1">
        <f t="shared" si="11"/>
        <v>13</v>
      </c>
      <c r="D220" s="5">
        <f t="shared" si="11"/>
        <v>4.5</v>
      </c>
      <c r="E220" s="5">
        <v>0.23</v>
      </c>
      <c r="F220" s="5">
        <v>0.45</v>
      </c>
      <c r="G220" s="4">
        <f t="shared" si="12"/>
        <v>6.0547500000000003</v>
      </c>
      <c r="H220" s="1" t="s">
        <v>10</v>
      </c>
      <c r="I220" s="9"/>
    </row>
    <row r="221" spans="1:9">
      <c r="A221" s="13"/>
      <c r="B221" s="46" t="str">
        <f t="shared" si="11"/>
        <v>X5-X6</v>
      </c>
      <c r="C221" s="1">
        <f t="shared" si="11"/>
        <v>10</v>
      </c>
      <c r="D221" s="5">
        <f t="shared" si="11"/>
        <v>2.5</v>
      </c>
      <c r="E221" s="5">
        <v>0.23</v>
      </c>
      <c r="F221" s="5">
        <v>0.45</v>
      </c>
      <c r="G221" s="4">
        <f t="shared" si="12"/>
        <v>2.5874999999999999</v>
      </c>
      <c r="H221" s="1" t="s">
        <v>10</v>
      </c>
      <c r="I221" s="9"/>
    </row>
    <row r="222" spans="1:9">
      <c r="A222" s="13"/>
      <c r="B222" s="46" t="str">
        <f t="shared" si="11"/>
        <v>X6-X7</v>
      </c>
      <c r="C222" s="1">
        <f t="shared" si="11"/>
        <v>10</v>
      </c>
      <c r="D222" s="5">
        <f t="shared" si="11"/>
        <v>2.5</v>
      </c>
      <c r="E222" s="5">
        <v>0.23</v>
      </c>
      <c r="F222" s="5">
        <v>0.45</v>
      </c>
      <c r="G222" s="4">
        <f t="shared" si="12"/>
        <v>2.5874999999999999</v>
      </c>
      <c r="H222" s="1" t="s">
        <v>10</v>
      </c>
      <c r="I222" s="9"/>
    </row>
    <row r="223" spans="1:9">
      <c r="A223" s="13"/>
      <c r="B223" s="46" t="str">
        <f t="shared" si="11"/>
        <v>X7-X8</v>
      </c>
      <c r="C223" s="1">
        <f t="shared" si="11"/>
        <v>9</v>
      </c>
      <c r="D223" s="5">
        <f t="shared" si="11"/>
        <v>1.25</v>
      </c>
      <c r="E223" s="5">
        <v>0.23</v>
      </c>
      <c r="F223" s="5">
        <v>0.45</v>
      </c>
      <c r="G223" s="4">
        <f t="shared" si="12"/>
        <v>1.1643749999999999</v>
      </c>
      <c r="H223" s="1" t="s">
        <v>10</v>
      </c>
      <c r="I223" s="9"/>
    </row>
    <row r="224" spans="1:9">
      <c r="A224" s="13"/>
      <c r="B224" s="46" t="str">
        <f t="shared" si="11"/>
        <v>X8-X9</v>
      </c>
      <c r="C224" s="1">
        <f t="shared" si="11"/>
        <v>9</v>
      </c>
      <c r="D224" s="5">
        <f t="shared" si="11"/>
        <v>3.75</v>
      </c>
      <c r="E224" s="5">
        <v>0.23</v>
      </c>
      <c r="F224" s="5">
        <v>0.45</v>
      </c>
      <c r="G224" s="4">
        <f t="shared" si="12"/>
        <v>3.493125</v>
      </c>
      <c r="H224" s="1" t="s">
        <v>10</v>
      </c>
      <c r="I224" s="9"/>
    </row>
    <row r="225" spans="1:10">
      <c r="A225" s="13"/>
      <c r="B225" s="46" t="str">
        <f t="shared" si="11"/>
        <v>X9-X10</v>
      </c>
      <c r="C225" s="1">
        <f t="shared" si="11"/>
        <v>9</v>
      </c>
      <c r="D225" s="5">
        <f t="shared" si="11"/>
        <v>3.5</v>
      </c>
      <c r="E225" s="5">
        <v>0.23</v>
      </c>
      <c r="F225" s="5">
        <v>0.45</v>
      </c>
      <c r="G225" s="4">
        <f t="shared" si="12"/>
        <v>3.2602500000000001</v>
      </c>
      <c r="H225" s="1" t="s">
        <v>10</v>
      </c>
      <c r="I225" s="9"/>
    </row>
    <row r="226" spans="1:10">
      <c r="A226" s="13"/>
      <c r="B226" s="46"/>
      <c r="C226" s="1"/>
      <c r="D226" s="5"/>
      <c r="E226" s="5"/>
      <c r="F226" s="5"/>
      <c r="G226" s="4"/>
      <c r="H226" s="1"/>
      <c r="I226" s="9"/>
    </row>
    <row r="227" spans="1:10">
      <c r="A227" s="13"/>
      <c r="B227" s="9"/>
      <c r="C227" s="1"/>
      <c r="D227" s="1"/>
      <c r="E227" s="1"/>
      <c r="F227" s="34" t="s">
        <v>11</v>
      </c>
      <c r="G227" s="53">
        <f>SUM(G207:G226)</f>
        <v>53.526059999999994</v>
      </c>
      <c r="H227" s="50" t="s">
        <v>12</v>
      </c>
      <c r="J227" s="4"/>
    </row>
    <row r="228" spans="1:10">
      <c r="A228" s="13"/>
      <c r="B228" s="6"/>
      <c r="C228" s="1"/>
      <c r="D228" s="1"/>
      <c r="E228" s="1"/>
      <c r="F228" s="56" t="s">
        <v>13</v>
      </c>
      <c r="G228" s="27">
        <f>ROUNDUP(G227,0)</f>
        <v>54</v>
      </c>
      <c r="H228" s="28" t="s">
        <v>9</v>
      </c>
      <c r="I228" s="9"/>
      <c r="J228" s="4"/>
    </row>
    <row r="229" spans="1:10">
      <c r="A229" s="13"/>
      <c r="B229" s="6"/>
      <c r="C229" s="1"/>
      <c r="D229" s="1"/>
      <c r="E229" s="1"/>
      <c r="F229" s="1"/>
      <c r="G229" s="33"/>
      <c r="H229" s="24"/>
      <c r="I229" s="9"/>
      <c r="J229" s="4"/>
    </row>
    <row r="230" spans="1:10">
      <c r="A230" s="18">
        <f>A206+1</f>
        <v>11</v>
      </c>
      <c r="B230" s="9" t="s">
        <v>58</v>
      </c>
      <c r="I230" s="9"/>
      <c r="J230" s="4"/>
    </row>
    <row r="231" spans="1:10">
      <c r="A231" s="13"/>
      <c r="B231" s="15" t="s">
        <v>56</v>
      </c>
      <c r="C231" s="1"/>
      <c r="D231" s="5"/>
      <c r="E231" s="1"/>
      <c r="F231" s="5"/>
      <c r="G231" s="4"/>
      <c r="H231" s="1"/>
      <c r="I231" s="9"/>
      <c r="J231" s="4"/>
    </row>
    <row r="232" spans="1:10">
      <c r="A232" s="13"/>
      <c r="B232" s="46" t="s">
        <v>450</v>
      </c>
      <c r="C232" s="1"/>
      <c r="D232" s="5"/>
      <c r="E232" s="1"/>
      <c r="F232" s="5"/>
      <c r="G232" s="4"/>
      <c r="H232" s="1"/>
      <c r="I232" s="9"/>
      <c r="J232" s="4"/>
    </row>
    <row r="233" spans="1:10">
      <c r="A233" s="13"/>
      <c r="C233" s="1">
        <v>7</v>
      </c>
      <c r="D233" s="5">
        <v>5</v>
      </c>
      <c r="E233" s="5">
        <v>0.23</v>
      </c>
      <c r="F233" s="5">
        <v>0.45</v>
      </c>
      <c r="G233" s="4">
        <f>C233*D233*E233*F233</f>
        <v>3.6225000000000005</v>
      </c>
      <c r="H233" s="1" t="s">
        <v>12</v>
      </c>
      <c r="I233" s="9"/>
      <c r="J233" s="4"/>
    </row>
    <row r="234" spans="1:10">
      <c r="A234" s="13"/>
      <c r="B234" s="46"/>
      <c r="C234" s="1">
        <v>2</v>
      </c>
      <c r="D234" s="5">
        <v>2.6</v>
      </c>
      <c r="E234" s="5">
        <v>0.23</v>
      </c>
      <c r="F234" s="5">
        <v>0.6</v>
      </c>
      <c r="G234" s="4">
        <f>C234*D234*E234*F234</f>
        <v>0.71760000000000013</v>
      </c>
      <c r="H234" s="1" t="s">
        <v>10</v>
      </c>
      <c r="I234" s="9"/>
      <c r="J234" s="4"/>
    </row>
    <row r="235" spans="1:10">
      <c r="A235" s="13"/>
      <c r="B235" s="46"/>
      <c r="C235" s="1">
        <v>2</v>
      </c>
      <c r="D235" s="5">
        <v>28.73</v>
      </c>
      <c r="E235" s="5">
        <v>0.23</v>
      </c>
      <c r="F235" s="5">
        <v>0.6</v>
      </c>
      <c r="G235" s="4">
        <f>C235*D235*E235*F235</f>
        <v>7.9294800000000008</v>
      </c>
      <c r="H235" s="1" t="s">
        <v>10</v>
      </c>
      <c r="I235" s="9"/>
      <c r="J235" s="4"/>
    </row>
    <row r="236" spans="1:10">
      <c r="A236" s="13"/>
      <c r="B236" s="46"/>
      <c r="C236" s="1">
        <v>1</v>
      </c>
      <c r="D236" s="5">
        <v>3.7</v>
      </c>
      <c r="E236" s="5">
        <v>0.23</v>
      </c>
      <c r="F236" s="5">
        <v>0.6</v>
      </c>
      <c r="G236" s="4">
        <f>C236*D236*E236*F236</f>
        <v>0.51060000000000005</v>
      </c>
      <c r="H236" s="1" t="s">
        <v>10</v>
      </c>
      <c r="I236" s="9"/>
      <c r="J236" s="4"/>
    </row>
    <row r="237" spans="1:10">
      <c r="A237" s="13"/>
      <c r="B237" s="46"/>
      <c r="C237" s="1">
        <v>1</v>
      </c>
      <c r="D237" s="5">
        <v>3.2</v>
      </c>
      <c r="E237" s="5">
        <v>0.23</v>
      </c>
      <c r="F237" s="5">
        <v>0.6</v>
      </c>
      <c r="G237" s="4">
        <f>C237*D237*E237*F237</f>
        <v>0.44160000000000005</v>
      </c>
      <c r="H237" s="1" t="s">
        <v>10</v>
      </c>
      <c r="I237" s="9"/>
      <c r="J237" s="4"/>
    </row>
    <row r="238" spans="1:10">
      <c r="A238" s="13"/>
      <c r="B238" s="46" t="s">
        <v>451</v>
      </c>
      <c r="C238" s="1"/>
      <c r="D238" s="5"/>
      <c r="E238" s="5"/>
      <c r="F238" s="5"/>
      <c r="G238" s="4"/>
      <c r="H238" s="1"/>
      <c r="I238" s="9"/>
      <c r="J238" s="4"/>
    </row>
    <row r="239" spans="1:10">
      <c r="A239" s="13"/>
      <c r="B239" s="46" t="s">
        <v>425</v>
      </c>
      <c r="C239" s="1">
        <v>4</v>
      </c>
      <c r="D239" s="5">
        <v>5.2</v>
      </c>
      <c r="E239" s="5">
        <v>0.23</v>
      </c>
      <c r="F239" s="5">
        <v>0.6</v>
      </c>
      <c r="G239" s="4">
        <f>C239*D239*E239*F239</f>
        <v>2.8704000000000005</v>
      </c>
      <c r="H239" s="1" t="s">
        <v>10</v>
      </c>
      <c r="I239" s="9"/>
      <c r="J239" s="4"/>
    </row>
    <row r="240" spans="1:10">
      <c r="A240" s="13"/>
      <c r="B240" s="46" t="s">
        <v>426</v>
      </c>
      <c r="C240" s="1">
        <v>4</v>
      </c>
      <c r="D240" s="5">
        <v>5.2</v>
      </c>
      <c r="E240" s="5">
        <v>0.23</v>
      </c>
      <c r="F240" s="5">
        <v>0.6</v>
      </c>
      <c r="G240" s="4">
        <f t="shared" ref="G240:G259" si="13">C240*D240*E240*F240</f>
        <v>2.8704000000000005</v>
      </c>
      <c r="H240" s="1" t="s">
        <v>10</v>
      </c>
      <c r="J240" s="4"/>
    </row>
    <row r="241" spans="1:10">
      <c r="A241" s="13"/>
      <c r="B241" s="46" t="s">
        <v>427</v>
      </c>
      <c r="C241" s="1">
        <v>4</v>
      </c>
      <c r="D241" s="5">
        <v>5.2</v>
      </c>
      <c r="E241" s="5">
        <v>0.23</v>
      </c>
      <c r="F241" s="5">
        <v>0.6</v>
      </c>
      <c r="G241" s="4">
        <f t="shared" si="13"/>
        <v>2.8704000000000005</v>
      </c>
      <c r="H241" s="1" t="s">
        <v>10</v>
      </c>
      <c r="J241" s="4"/>
    </row>
    <row r="242" spans="1:10">
      <c r="A242" s="13"/>
      <c r="B242" s="46" t="s">
        <v>428</v>
      </c>
      <c r="C242" s="1">
        <v>4</v>
      </c>
      <c r="D242" s="5">
        <v>3</v>
      </c>
      <c r="E242" s="5">
        <v>0.23</v>
      </c>
      <c r="F242" s="5">
        <v>0.6</v>
      </c>
      <c r="G242" s="4">
        <f t="shared" si="13"/>
        <v>1.6560000000000001</v>
      </c>
      <c r="H242" s="1" t="s">
        <v>10</v>
      </c>
      <c r="J242" s="4"/>
    </row>
    <row r="243" spans="1:10">
      <c r="A243" s="13"/>
      <c r="B243" s="46"/>
      <c r="C243" s="1">
        <v>1</v>
      </c>
      <c r="D243" s="5">
        <v>3</v>
      </c>
      <c r="E243" s="5">
        <v>0.23</v>
      </c>
      <c r="F243" s="5">
        <v>0.45</v>
      </c>
      <c r="G243" s="4">
        <f t="shared" si="13"/>
        <v>0.31050000000000005</v>
      </c>
      <c r="H243" s="1" t="s">
        <v>10</v>
      </c>
      <c r="J243" s="4"/>
    </row>
    <row r="244" spans="1:10">
      <c r="A244" s="13"/>
      <c r="B244" s="46" t="s">
        <v>429</v>
      </c>
      <c r="C244" s="1">
        <v>3</v>
      </c>
      <c r="D244" s="5">
        <v>2.2000000000000002</v>
      </c>
      <c r="E244" s="5">
        <v>0.23</v>
      </c>
      <c r="F244" s="5">
        <v>0.6</v>
      </c>
      <c r="G244" s="4">
        <f t="shared" si="13"/>
        <v>0.91080000000000005</v>
      </c>
      <c r="H244" s="1" t="s">
        <v>10</v>
      </c>
      <c r="J244" s="4"/>
    </row>
    <row r="245" spans="1:10">
      <c r="A245" s="13"/>
      <c r="B245" s="46"/>
      <c r="C245" s="1">
        <v>1</v>
      </c>
      <c r="D245" s="5">
        <v>2.2000000000000002</v>
      </c>
      <c r="E245" s="5">
        <v>0.23</v>
      </c>
      <c r="F245" s="5">
        <v>0.45</v>
      </c>
      <c r="G245" s="4">
        <f t="shared" si="13"/>
        <v>0.22770000000000007</v>
      </c>
      <c r="H245" s="1" t="s">
        <v>10</v>
      </c>
      <c r="J245" s="4"/>
    </row>
    <row r="246" spans="1:10">
      <c r="A246" s="13"/>
      <c r="B246" s="46" t="s">
        <v>430</v>
      </c>
      <c r="C246" s="1">
        <v>3</v>
      </c>
      <c r="D246" s="5">
        <v>5.2</v>
      </c>
      <c r="E246" s="5">
        <v>0.23</v>
      </c>
      <c r="F246" s="5">
        <v>0.6</v>
      </c>
      <c r="G246" s="4">
        <f t="shared" si="13"/>
        <v>2.1528</v>
      </c>
      <c r="H246" s="1" t="s">
        <v>10</v>
      </c>
      <c r="J246" s="4"/>
    </row>
    <row r="247" spans="1:10">
      <c r="A247" s="13"/>
      <c r="B247" s="46" t="s">
        <v>431</v>
      </c>
      <c r="C247" s="1">
        <v>5</v>
      </c>
      <c r="D247" s="5">
        <v>2.5</v>
      </c>
      <c r="E247" s="5">
        <v>0.23</v>
      </c>
      <c r="F247" s="5">
        <v>0.6</v>
      </c>
      <c r="G247" s="4">
        <f t="shared" si="13"/>
        <v>1.7249999999999999</v>
      </c>
      <c r="H247" s="1" t="s">
        <v>10</v>
      </c>
      <c r="J247" s="4"/>
    </row>
    <row r="248" spans="1:10">
      <c r="A248" s="13"/>
      <c r="B248" s="46" t="s">
        <v>432</v>
      </c>
      <c r="C248" s="1">
        <v>5</v>
      </c>
      <c r="D248" s="5">
        <v>2.5</v>
      </c>
      <c r="E248" s="5">
        <v>0.23</v>
      </c>
      <c r="F248" s="5">
        <v>0.6</v>
      </c>
      <c r="G248" s="4">
        <f t="shared" si="13"/>
        <v>1.7249999999999999</v>
      </c>
      <c r="H248" s="1" t="s">
        <v>10</v>
      </c>
      <c r="J248" s="4"/>
    </row>
    <row r="249" spans="1:10">
      <c r="A249" s="13"/>
      <c r="B249" s="46" t="s">
        <v>433</v>
      </c>
      <c r="C249" s="1">
        <v>7</v>
      </c>
      <c r="D249" s="5">
        <v>5</v>
      </c>
      <c r="E249" s="5">
        <v>0.23</v>
      </c>
      <c r="F249" s="5">
        <v>0.6</v>
      </c>
      <c r="G249" s="4">
        <f t="shared" si="13"/>
        <v>4.83</v>
      </c>
      <c r="H249" s="1" t="s">
        <v>10</v>
      </c>
      <c r="J249" s="4"/>
    </row>
    <row r="250" spans="1:10">
      <c r="A250" s="13"/>
      <c r="B250" s="46" t="s">
        <v>434</v>
      </c>
      <c r="C250" s="1">
        <v>7</v>
      </c>
      <c r="D250" s="5">
        <v>5</v>
      </c>
      <c r="E250" s="5">
        <v>0.23</v>
      </c>
      <c r="F250" s="5">
        <v>0.6</v>
      </c>
      <c r="G250" s="4">
        <f t="shared" si="13"/>
        <v>4.83</v>
      </c>
      <c r="H250" s="1" t="s">
        <v>10</v>
      </c>
      <c r="J250" s="4"/>
    </row>
    <row r="251" spans="1:10">
      <c r="A251" s="13"/>
      <c r="B251" s="46" t="s">
        <v>435</v>
      </c>
      <c r="C251" s="1">
        <v>2</v>
      </c>
      <c r="D251" s="5">
        <v>0.79</v>
      </c>
      <c r="E251" s="5">
        <v>0.23</v>
      </c>
      <c r="F251" s="5">
        <v>0.45</v>
      </c>
      <c r="G251" s="4">
        <f t="shared" si="13"/>
        <v>0.16353000000000004</v>
      </c>
      <c r="H251" s="1" t="s">
        <v>10</v>
      </c>
      <c r="J251" s="4"/>
    </row>
    <row r="252" spans="1:10">
      <c r="A252" s="13"/>
      <c r="B252" s="46" t="s">
        <v>436</v>
      </c>
      <c r="C252" s="1">
        <v>2</v>
      </c>
      <c r="D252" s="5">
        <v>1.2</v>
      </c>
      <c r="E252" s="5">
        <v>0.23</v>
      </c>
      <c r="F252" s="5">
        <v>0.45</v>
      </c>
      <c r="G252" s="4">
        <f t="shared" si="13"/>
        <v>0.24840000000000004</v>
      </c>
      <c r="H252" s="1" t="s">
        <v>10</v>
      </c>
      <c r="J252" s="4"/>
    </row>
    <row r="253" spans="1:10">
      <c r="A253" s="13"/>
      <c r="B253" s="46" t="s">
        <v>437</v>
      </c>
      <c r="C253" s="1">
        <v>11</v>
      </c>
      <c r="D253" s="5">
        <v>4.5</v>
      </c>
      <c r="E253" s="5">
        <v>0.23</v>
      </c>
      <c r="F253" s="5">
        <v>0.6</v>
      </c>
      <c r="G253" s="4">
        <f t="shared" si="13"/>
        <v>6.8309999999999995</v>
      </c>
      <c r="H253" s="1" t="s">
        <v>10</v>
      </c>
      <c r="J253" s="4"/>
    </row>
    <row r="254" spans="1:10">
      <c r="A254" s="13"/>
      <c r="B254" s="46" t="s">
        <v>438</v>
      </c>
      <c r="C254" s="1">
        <v>10</v>
      </c>
      <c r="D254" s="5">
        <v>4.5</v>
      </c>
      <c r="E254" s="5">
        <v>0.23</v>
      </c>
      <c r="F254" s="5">
        <v>0.6</v>
      </c>
      <c r="G254" s="4">
        <f t="shared" si="13"/>
        <v>6.21</v>
      </c>
      <c r="H254" s="1" t="s">
        <v>10</v>
      </c>
      <c r="J254" s="4"/>
    </row>
    <row r="255" spans="1:10">
      <c r="A255" s="13"/>
      <c r="B255" s="46" t="s">
        <v>439</v>
      </c>
      <c r="C255" s="1">
        <v>6</v>
      </c>
      <c r="D255" s="5">
        <v>2.5</v>
      </c>
      <c r="E255" s="5">
        <v>0.23</v>
      </c>
      <c r="F255" s="5">
        <v>0.6</v>
      </c>
      <c r="G255" s="4">
        <f t="shared" si="13"/>
        <v>2.0699999999999998</v>
      </c>
      <c r="H255" s="1" t="s">
        <v>10</v>
      </c>
      <c r="J255" s="4"/>
    </row>
    <row r="256" spans="1:10">
      <c r="A256" s="13"/>
      <c r="B256" s="46" t="s">
        <v>440</v>
      </c>
      <c r="C256" s="1">
        <v>6</v>
      </c>
      <c r="D256" s="5">
        <v>2.5</v>
      </c>
      <c r="E256" s="5">
        <v>0.23</v>
      </c>
      <c r="F256" s="5">
        <v>0.6</v>
      </c>
      <c r="G256" s="4">
        <f t="shared" si="13"/>
        <v>2.0699999999999998</v>
      </c>
      <c r="H256" s="1" t="s">
        <v>10</v>
      </c>
      <c r="J256" s="4"/>
    </row>
    <row r="257" spans="1:10">
      <c r="A257" s="13"/>
      <c r="B257" s="46" t="s">
        <v>441</v>
      </c>
      <c r="C257" s="1">
        <v>5</v>
      </c>
      <c r="D257" s="5">
        <v>1.25</v>
      </c>
      <c r="E257" s="5">
        <v>0.23</v>
      </c>
      <c r="F257" s="5">
        <v>0.6</v>
      </c>
      <c r="G257" s="4">
        <f t="shared" si="13"/>
        <v>0.86249999999999993</v>
      </c>
      <c r="H257" s="1" t="s">
        <v>10</v>
      </c>
      <c r="J257" s="4"/>
    </row>
    <row r="258" spans="1:10">
      <c r="A258" s="13"/>
      <c r="B258" s="46" t="s">
        <v>442</v>
      </c>
      <c r="C258" s="1">
        <v>5</v>
      </c>
      <c r="D258" s="5">
        <v>3.75</v>
      </c>
      <c r="E258" s="5">
        <v>0.23</v>
      </c>
      <c r="F258" s="5">
        <v>0.6</v>
      </c>
      <c r="G258" s="4">
        <f t="shared" si="13"/>
        <v>2.5874999999999999</v>
      </c>
      <c r="H258" s="1" t="s">
        <v>10</v>
      </c>
      <c r="J258" s="4"/>
    </row>
    <row r="259" spans="1:10">
      <c r="A259" s="13"/>
      <c r="B259" s="46" t="s">
        <v>443</v>
      </c>
      <c r="C259" s="1">
        <v>4</v>
      </c>
      <c r="D259" s="5">
        <v>3.5</v>
      </c>
      <c r="E259" s="5">
        <v>0.23</v>
      </c>
      <c r="F259" s="5">
        <v>0.6</v>
      </c>
      <c r="G259" s="4">
        <f t="shared" si="13"/>
        <v>1.9319999999999999</v>
      </c>
      <c r="H259" s="1" t="s">
        <v>10</v>
      </c>
      <c r="J259" s="4"/>
    </row>
    <row r="260" spans="1:10">
      <c r="A260" s="13"/>
      <c r="B260" s="9"/>
      <c r="C260" s="1"/>
      <c r="D260" s="5"/>
      <c r="E260" s="1"/>
      <c r="F260" s="1"/>
      <c r="G260" s="4"/>
      <c r="J260" s="4"/>
    </row>
    <row r="261" spans="1:10">
      <c r="A261" s="13"/>
      <c r="B261" s="9"/>
      <c r="C261" s="1"/>
      <c r="D261" s="1"/>
      <c r="E261" s="1"/>
      <c r="F261" s="34" t="s">
        <v>11</v>
      </c>
      <c r="G261" s="53">
        <f>SUM(G233:G260)</f>
        <v>63.175709999999995</v>
      </c>
      <c r="H261" s="50" t="s">
        <v>12</v>
      </c>
      <c r="J261" s="4"/>
    </row>
    <row r="262" spans="1:10">
      <c r="A262" s="13"/>
      <c r="B262" s="6"/>
      <c r="C262" s="1"/>
      <c r="D262" s="1"/>
      <c r="E262" s="1"/>
      <c r="F262" s="56" t="s">
        <v>13</v>
      </c>
      <c r="G262" s="27">
        <f>ROUNDUP(G261,0)</f>
        <v>64</v>
      </c>
      <c r="H262" s="28" t="s">
        <v>9</v>
      </c>
      <c r="J262" s="4"/>
    </row>
    <row r="263" spans="1:10">
      <c r="A263" s="13"/>
      <c r="C263" s="1"/>
      <c r="D263" s="1"/>
      <c r="E263" s="1"/>
      <c r="F263" s="1"/>
      <c r="G263" s="33"/>
      <c r="H263" s="24"/>
      <c r="J263" s="4"/>
    </row>
    <row r="264" spans="1:10">
      <c r="A264" s="13"/>
      <c r="B264" s="15" t="s">
        <v>445</v>
      </c>
      <c r="C264" s="1"/>
      <c r="D264" s="5"/>
      <c r="E264" s="1"/>
      <c r="F264" s="5"/>
      <c r="G264" s="4"/>
      <c r="H264" s="1"/>
      <c r="J264" s="4"/>
    </row>
    <row r="265" spans="1:10">
      <c r="A265" s="13"/>
      <c r="B265" s="46" t="s">
        <v>453</v>
      </c>
      <c r="C265" s="1"/>
      <c r="D265" s="5"/>
      <c r="E265" s="5"/>
      <c r="F265" s="5"/>
      <c r="G265" s="4"/>
      <c r="H265" s="1"/>
      <c r="J265" s="4"/>
    </row>
    <row r="266" spans="1:10">
      <c r="A266" s="13"/>
      <c r="B266" s="46" t="s">
        <v>425</v>
      </c>
      <c r="C266" s="1">
        <v>3</v>
      </c>
      <c r="D266" s="5">
        <v>5.2</v>
      </c>
      <c r="E266" s="5">
        <v>0.23</v>
      </c>
      <c r="F266" s="5">
        <v>0.6</v>
      </c>
      <c r="G266" s="4">
        <f>C266*D266*E266*F266</f>
        <v>2.1528</v>
      </c>
      <c r="H266" s="1" t="s">
        <v>12</v>
      </c>
      <c r="J266" s="4"/>
    </row>
    <row r="267" spans="1:10">
      <c r="A267" s="13"/>
      <c r="B267" s="46" t="s">
        <v>426</v>
      </c>
      <c r="C267" s="1">
        <v>3</v>
      </c>
      <c r="D267" s="5">
        <v>5.2</v>
      </c>
      <c r="E267" s="5">
        <v>0.23</v>
      </c>
      <c r="F267" s="5">
        <v>0.6</v>
      </c>
      <c r="G267" s="4">
        <f t="shared" ref="G267:G288" si="14">C267*D267*E267*F267</f>
        <v>2.1528</v>
      </c>
      <c r="H267" s="1" t="s">
        <v>10</v>
      </c>
      <c r="J267" s="4"/>
    </row>
    <row r="268" spans="1:10">
      <c r="A268" s="13"/>
      <c r="B268" s="46" t="s">
        <v>427</v>
      </c>
      <c r="C268" s="1">
        <v>4</v>
      </c>
      <c r="D268" s="5">
        <v>5.2</v>
      </c>
      <c r="E268" s="5">
        <v>0.23</v>
      </c>
      <c r="F268" s="5">
        <v>0.6</v>
      </c>
      <c r="G268" s="4">
        <f t="shared" si="14"/>
        <v>2.8704000000000005</v>
      </c>
      <c r="H268" s="1" t="s">
        <v>10</v>
      </c>
      <c r="J268" s="4"/>
    </row>
    <row r="269" spans="1:10">
      <c r="A269" s="13"/>
      <c r="B269" s="46" t="s">
        <v>428</v>
      </c>
      <c r="C269" s="1">
        <v>4</v>
      </c>
      <c r="D269" s="5">
        <v>3</v>
      </c>
      <c r="E269" s="5">
        <v>0.23</v>
      </c>
      <c r="F269" s="5">
        <v>0.6</v>
      </c>
      <c r="G269" s="4">
        <f t="shared" si="14"/>
        <v>1.6560000000000001</v>
      </c>
      <c r="H269" s="1" t="s">
        <v>10</v>
      </c>
      <c r="J269" s="4"/>
    </row>
    <row r="270" spans="1:10">
      <c r="A270" s="13"/>
      <c r="B270" s="46"/>
      <c r="C270" s="1">
        <v>1</v>
      </c>
      <c r="D270" s="5">
        <v>3</v>
      </c>
      <c r="E270" s="5">
        <v>0.23</v>
      </c>
      <c r="F270" s="5">
        <v>0.45</v>
      </c>
      <c r="G270" s="4">
        <f t="shared" si="14"/>
        <v>0.31050000000000005</v>
      </c>
      <c r="H270" s="1" t="s">
        <v>10</v>
      </c>
      <c r="J270" s="4"/>
    </row>
    <row r="271" spans="1:10">
      <c r="A271" s="13"/>
      <c r="B271" s="46" t="s">
        <v>429</v>
      </c>
      <c r="C271" s="1">
        <v>3</v>
      </c>
      <c r="D271" s="5">
        <v>2.2000000000000002</v>
      </c>
      <c r="E271" s="5">
        <v>0.23</v>
      </c>
      <c r="F271" s="5">
        <v>0.6</v>
      </c>
      <c r="G271" s="4">
        <f t="shared" si="14"/>
        <v>0.91080000000000005</v>
      </c>
      <c r="H271" s="1" t="s">
        <v>10</v>
      </c>
      <c r="J271" s="4"/>
    </row>
    <row r="272" spans="1:10">
      <c r="A272" s="13"/>
      <c r="B272" s="46"/>
      <c r="C272" s="1">
        <v>1</v>
      </c>
      <c r="D272" s="5">
        <v>2.2000000000000002</v>
      </c>
      <c r="E272" s="5">
        <v>0.23</v>
      </c>
      <c r="F272" s="5">
        <v>0.45</v>
      </c>
      <c r="G272" s="4">
        <f t="shared" si="14"/>
        <v>0.22770000000000007</v>
      </c>
      <c r="H272" s="1" t="s">
        <v>10</v>
      </c>
      <c r="J272" s="4"/>
    </row>
    <row r="273" spans="1:10">
      <c r="A273" s="13"/>
      <c r="B273" s="46" t="s">
        <v>430</v>
      </c>
      <c r="C273" s="1">
        <v>3</v>
      </c>
      <c r="D273" s="5">
        <v>5.2</v>
      </c>
      <c r="E273" s="5">
        <v>0.23</v>
      </c>
      <c r="F273" s="5">
        <v>0.6</v>
      </c>
      <c r="G273" s="4">
        <f t="shared" si="14"/>
        <v>2.1528</v>
      </c>
      <c r="H273" s="1" t="s">
        <v>10</v>
      </c>
      <c r="J273" s="4"/>
    </row>
    <row r="274" spans="1:10">
      <c r="A274" s="13"/>
      <c r="B274" s="46" t="s">
        <v>431</v>
      </c>
      <c r="C274" s="1">
        <v>5</v>
      </c>
      <c r="D274" s="5">
        <v>2.5</v>
      </c>
      <c r="E274" s="5">
        <v>0.23</v>
      </c>
      <c r="F274" s="5">
        <v>0.6</v>
      </c>
      <c r="G274" s="4">
        <f t="shared" si="14"/>
        <v>1.7249999999999999</v>
      </c>
      <c r="H274" s="1" t="s">
        <v>10</v>
      </c>
      <c r="J274" s="4"/>
    </row>
    <row r="275" spans="1:10">
      <c r="A275" s="13"/>
      <c r="B275" s="46" t="s">
        <v>432</v>
      </c>
      <c r="C275" s="1">
        <v>5</v>
      </c>
      <c r="D275" s="5">
        <v>2.5</v>
      </c>
      <c r="E275" s="5">
        <v>0.23</v>
      </c>
      <c r="F275" s="5">
        <v>0.6</v>
      </c>
      <c r="G275" s="4">
        <f t="shared" si="14"/>
        <v>1.7249999999999999</v>
      </c>
      <c r="H275" s="1" t="s">
        <v>10</v>
      </c>
      <c r="J275" s="4"/>
    </row>
    <row r="276" spans="1:10">
      <c r="A276" s="13"/>
      <c r="B276" s="46" t="s">
        <v>433</v>
      </c>
      <c r="C276" s="1">
        <v>6</v>
      </c>
      <c r="D276" s="5">
        <v>5</v>
      </c>
      <c r="E276" s="5">
        <v>0.23</v>
      </c>
      <c r="F276" s="5">
        <v>0.6</v>
      </c>
      <c r="G276" s="4">
        <f t="shared" si="14"/>
        <v>4.1399999999999997</v>
      </c>
      <c r="H276" s="1" t="s">
        <v>10</v>
      </c>
      <c r="J276" s="4"/>
    </row>
    <row r="277" spans="1:10">
      <c r="A277" s="13"/>
      <c r="B277" s="46" t="s">
        <v>434</v>
      </c>
      <c r="C277" s="1">
        <v>6</v>
      </c>
      <c r="D277" s="5">
        <v>5</v>
      </c>
      <c r="E277" s="5">
        <v>0.23</v>
      </c>
      <c r="F277" s="5">
        <v>0.6</v>
      </c>
      <c r="G277" s="4">
        <f t="shared" si="14"/>
        <v>4.1399999999999997</v>
      </c>
      <c r="H277" s="1" t="s">
        <v>10</v>
      </c>
      <c r="J277" s="4"/>
    </row>
    <row r="278" spans="1:10">
      <c r="A278" s="13"/>
      <c r="B278" s="46"/>
      <c r="C278" s="1">
        <v>3</v>
      </c>
      <c r="D278" s="5">
        <v>1.2749999999999999</v>
      </c>
      <c r="E278" s="5">
        <v>0.23</v>
      </c>
      <c r="F278" s="5">
        <v>0.6</v>
      </c>
      <c r="G278" s="4">
        <f t="shared" si="14"/>
        <v>0.52785000000000004</v>
      </c>
      <c r="H278" s="1" t="s">
        <v>10</v>
      </c>
      <c r="J278" s="4"/>
    </row>
    <row r="279" spans="1:10">
      <c r="A279" s="13"/>
      <c r="B279" s="46" t="s">
        <v>435</v>
      </c>
      <c r="C279" s="1">
        <v>2</v>
      </c>
      <c r="D279" s="5">
        <v>0.79</v>
      </c>
      <c r="E279" s="5">
        <v>0.23</v>
      </c>
      <c r="F279" s="5">
        <v>0.45</v>
      </c>
      <c r="G279" s="4">
        <f t="shared" si="14"/>
        <v>0.16353000000000004</v>
      </c>
      <c r="H279" s="1" t="s">
        <v>10</v>
      </c>
      <c r="J279" s="4"/>
    </row>
    <row r="280" spans="1:10">
      <c r="A280" s="13"/>
      <c r="B280" s="46" t="s">
        <v>436</v>
      </c>
      <c r="C280" s="1">
        <v>2</v>
      </c>
      <c r="D280" s="5">
        <v>1.2</v>
      </c>
      <c r="E280" s="5">
        <v>0.23</v>
      </c>
      <c r="F280" s="5">
        <v>0.45</v>
      </c>
      <c r="G280" s="4">
        <f t="shared" si="14"/>
        <v>0.24840000000000004</v>
      </c>
      <c r="H280" s="1" t="s">
        <v>10</v>
      </c>
      <c r="J280" s="4"/>
    </row>
    <row r="281" spans="1:10">
      <c r="A281" s="13"/>
      <c r="B281" s="46" t="s">
        <v>437</v>
      </c>
      <c r="C281" s="1">
        <v>10</v>
      </c>
      <c r="D281" s="5">
        <v>4.5</v>
      </c>
      <c r="E281" s="5">
        <v>0.23</v>
      </c>
      <c r="F281" s="5">
        <v>0.6</v>
      </c>
      <c r="G281" s="4">
        <f t="shared" si="14"/>
        <v>6.21</v>
      </c>
      <c r="H281" s="1" t="s">
        <v>10</v>
      </c>
      <c r="J281" s="4"/>
    </row>
    <row r="282" spans="1:10">
      <c r="A282" s="13"/>
      <c r="B282" s="46" t="s">
        <v>438</v>
      </c>
      <c r="C282" s="1">
        <v>10</v>
      </c>
      <c r="D282" s="5">
        <v>4.5</v>
      </c>
      <c r="E282" s="5">
        <v>0.23</v>
      </c>
      <c r="F282" s="5">
        <v>0.6</v>
      </c>
      <c r="G282" s="4">
        <f t="shared" si="14"/>
        <v>6.21</v>
      </c>
      <c r="H282" s="1" t="s">
        <v>10</v>
      </c>
      <c r="J282" s="4"/>
    </row>
    <row r="283" spans="1:10">
      <c r="A283" s="13"/>
      <c r="B283" s="46" t="s">
        <v>439</v>
      </c>
      <c r="C283" s="1">
        <v>4</v>
      </c>
      <c r="D283" s="5">
        <v>2.5</v>
      </c>
      <c r="E283" s="5">
        <v>0.23</v>
      </c>
      <c r="F283" s="5">
        <v>0.6</v>
      </c>
      <c r="G283" s="4">
        <f t="shared" si="14"/>
        <v>1.3800000000000001</v>
      </c>
      <c r="H283" s="1" t="s">
        <v>10</v>
      </c>
      <c r="J283" s="4"/>
    </row>
    <row r="284" spans="1:10">
      <c r="A284" s="13"/>
      <c r="B284" s="46" t="s">
        <v>440</v>
      </c>
      <c r="C284" s="1">
        <v>4</v>
      </c>
      <c r="D284" s="5">
        <v>2.5</v>
      </c>
      <c r="E284" s="5">
        <v>0.23</v>
      </c>
      <c r="F284" s="5">
        <v>0.6</v>
      </c>
      <c r="G284" s="4">
        <f t="shared" si="14"/>
        <v>1.3800000000000001</v>
      </c>
      <c r="H284" s="1" t="s">
        <v>10</v>
      </c>
      <c r="J284" s="4"/>
    </row>
    <row r="285" spans="1:10">
      <c r="A285" s="13"/>
      <c r="B285" s="46" t="s">
        <v>441</v>
      </c>
      <c r="C285" s="1">
        <v>4</v>
      </c>
      <c r="D285" s="5">
        <v>1.25</v>
      </c>
      <c r="E285" s="5">
        <v>0.23</v>
      </c>
      <c r="F285" s="5">
        <v>0.6</v>
      </c>
      <c r="G285" s="4">
        <f t="shared" si="14"/>
        <v>0.69000000000000006</v>
      </c>
      <c r="H285" s="1" t="s">
        <v>10</v>
      </c>
      <c r="J285" s="4"/>
    </row>
    <row r="286" spans="1:10">
      <c r="A286" s="13"/>
      <c r="B286" s="46" t="s">
        <v>442</v>
      </c>
      <c r="C286" s="1">
        <v>4</v>
      </c>
      <c r="D286" s="5">
        <v>3.75</v>
      </c>
      <c r="E286" s="5">
        <v>0.23</v>
      </c>
      <c r="F286" s="5">
        <v>0.6</v>
      </c>
      <c r="G286" s="4">
        <f t="shared" si="14"/>
        <v>2.0699999999999998</v>
      </c>
      <c r="H286" s="1" t="s">
        <v>10</v>
      </c>
      <c r="J286" s="4"/>
    </row>
    <row r="287" spans="1:10">
      <c r="A287" s="13"/>
      <c r="B287" s="46" t="s">
        <v>452</v>
      </c>
      <c r="C287" s="1">
        <v>6</v>
      </c>
      <c r="D287" s="5">
        <v>10</v>
      </c>
      <c r="E287" s="5">
        <v>0.3</v>
      </c>
      <c r="F287" s="5">
        <v>0.6</v>
      </c>
      <c r="G287" s="4">
        <f t="shared" si="14"/>
        <v>10.799999999999999</v>
      </c>
      <c r="H287" s="1" t="s">
        <v>10</v>
      </c>
      <c r="J287" s="4"/>
    </row>
    <row r="288" spans="1:10">
      <c r="A288" s="13"/>
      <c r="B288" s="46"/>
      <c r="C288" s="1">
        <v>2</v>
      </c>
      <c r="D288" s="5">
        <v>26</v>
      </c>
      <c r="E288" s="5">
        <v>0.3</v>
      </c>
      <c r="F288" s="5">
        <v>0.6</v>
      </c>
      <c r="G288" s="4">
        <f t="shared" si="14"/>
        <v>9.36</v>
      </c>
      <c r="H288" s="1" t="s">
        <v>10</v>
      </c>
      <c r="J288" s="4"/>
    </row>
    <row r="289" spans="1:10">
      <c r="A289" s="13"/>
      <c r="B289" s="46"/>
      <c r="C289" s="1"/>
      <c r="D289" s="5"/>
      <c r="E289" s="5"/>
      <c r="F289" s="5"/>
      <c r="G289" s="4"/>
      <c r="H289" s="1"/>
      <c r="J289" s="4"/>
    </row>
    <row r="290" spans="1:10">
      <c r="A290" s="13"/>
      <c r="B290" s="9"/>
      <c r="C290" s="1"/>
      <c r="D290" s="1"/>
      <c r="E290" s="5"/>
      <c r="F290" s="34" t="s">
        <v>11</v>
      </c>
      <c r="G290" s="53">
        <f>SUM(G266:G289)</f>
        <v>63.203580000000002</v>
      </c>
      <c r="H290" s="50" t="s">
        <v>12</v>
      </c>
      <c r="J290" s="4"/>
    </row>
    <row r="291" spans="1:10">
      <c r="A291" s="13"/>
      <c r="B291" s="6"/>
      <c r="C291" s="1"/>
      <c r="D291" s="1"/>
      <c r="E291" s="1"/>
      <c r="F291" s="56" t="s">
        <v>13</v>
      </c>
      <c r="G291" s="27">
        <f>ROUNDUP(G290,0)</f>
        <v>64</v>
      </c>
      <c r="H291" s="28" t="s">
        <v>9</v>
      </c>
      <c r="J291" s="4"/>
    </row>
    <row r="292" spans="1:10">
      <c r="A292" s="13"/>
      <c r="C292" s="1"/>
      <c r="D292" s="1"/>
      <c r="E292" s="1"/>
      <c r="F292" s="1"/>
      <c r="G292" s="33"/>
      <c r="H292" s="24"/>
      <c r="J292" s="4"/>
    </row>
    <row r="293" spans="1:10">
      <c r="A293" s="13"/>
      <c r="B293" s="15" t="s">
        <v>57</v>
      </c>
      <c r="C293" s="1"/>
      <c r="D293" s="5"/>
      <c r="E293" s="1"/>
      <c r="F293" s="5"/>
      <c r="G293" s="4"/>
      <c r="H293" s="1"/>
      <c r="J293" s="4"/>
    </row>
    <row r="294" spans="1:10">
      <c r="A294" s="13"/>
      <c r="B294" s="46" t="s">
        <v>431</v>
      </c>
      <c r="C294" s="1">
        <v>3</v>
      </c>
      <c r="D294" s="5">
        <v>2.5</v>
      </c>
      <c r="E294" s="5">
        <v>0.23</v>
      </c>
      <c r="F294" s="5">
        <v>0.6</v>
      </c>
      <c r="G294" s="4">
        <f>C294*D294*E294*F294</f>
        <v>1.0349999999999999</v>
      </c>
      <c r="H294" s="1" t="s">
        <v>12</v>
      </c>
      <c r="J294" s="4"/>
    </row>
    <row r="295" spans="1:10">
      <c r="A295" s="13"/>
      <c r="B295" s="46" t="s">
        <v>432</v>
      </c>
      <c r="C295" s="1">
        <v>3</v>
      </c>
      <c r="D295" s="5">
        <v>2.5</v>
      </c>
      <c r="E295" s="5">
        <v>0.23</v>
      </c>
      <c r="F295" s="5">
        <v>0.6</v>
      </c>
      <c r="G295" s="4">
        <f t="shared" ref="G295:G306" si="15">C295*D295*E295*F295</f>
        <v>1.0349999999999999</v>
      </c>
      <c r="H295" s="1" t="s">
        <v>10</v>
      </c>
      <c r="J295" s="4"/>
    </row>
    <row r="296" spans="1:10">
      <c r="A296" s="13"/>
      <c r="B296" s="46" t="s">
        <v>433</v>
      </c>
      <c r="C296" s="1">
        <v>5</v>
      </c>
      <c r="D296" s="5">
        <v>5</v>
      </c>
      <c r="E296" s="5">
        <v>0.23</v>
      </c>
      <c r="F296" s="5">
        <v>0.6</v>
      </c>
      <c r="G296" s="4">
        <f t="shared" si="15"/>
        <v>3.4499999999999997</v>
      </c>
      <c r="H296" s="1" t="s">
        <v>10</v>
      </c>
      <c r="J296" s="4"/>
    </row>
    <row r="297" spans="1:10">
      <c r="A297" s="13"/>
      <c r="B297" s="46" t="s">
        <v>434</v>
      </c>
      <c r="C297" s="1">
        <v>5</v>
      </c>
      <c r="D297" s="5">
        <v>5</v>
      </c>
      <c r="E297" s="5">
        <v>0.23</v>
      </c>
      <c r="F297" s="5">
        <v>0.6</v>
      </c>
      <c r="G297" s="4">
        <f t="shared" si="15"/>
        <v>3.4499999999999997</v>
      </c>
      <c r="H297" s="1" t="s">
        <v>10</v>
      </c>
      <c r="J297" s="4"/>
    </row>
    <row r="298" spans="1:10">
      <c r="A298" s="13"/>
      <c r="B298" s="46"/>
      <c r="C298" s="1">
        <v>3</v>
      </c>
      <c r="D298" s="5">
        <v>1.2749999999999999</v>
      </c>
      <c r="E298" s="5">
        <v>0.23</v>
      </c>
      <c r="F298" s="5">
        <v>0.6</v>
      </c>
      <c r="G298" s="4">
        <f t="shared" si="15"/>
        <v>0.52785000000000004</v>
      </c>
      <c r="H298" s="1" t="s">
        <v>10</v>
      </c>
      <c r="J298" s="4"/>
    </row>
    <row r="299" spans="1:10">
      <c r="A299" s="13"/>
      <c r="B299" s="46" t="s">
        <v>436</v>
      </c>
      <c r="C299" s="1">
        <v>3</v>
      </c>
      <c r="D299" s="5">
        <v>1.2</v>
      </c>
      <c r="E299" s="5">
        <v>0.23</v>
      </c>
      <c r="F299" s="5">
        <v>0.45</v>
      </c>
      <c r="G299" s="4">
        <f t="shared" si="15"/>
        <v>0.37259999999999999</v>
      </c>
      <c r="H299" s="1" t="s">
        <v>10</v>
      </c>
      <c r="J299" s="4"/>
    </row>
    <row r="300" spans="1:10">
      <c r="A300" s="13"/>
      <c r="B300" s="46" t="s">
        <v>437</v>
      </c>
      <c r="C300" s="1">
        <v>3</v>
      </c>
      <c r="D300" s="5">
        <v>4.5</v>
      </c>
      <c r="E300" s="5">
        <v>0.23</v>
      </c>
      <c r="F300" s="5">
        <v>0.6</v>
      </c>
      <c r="G300" s="4">
        <f t="shared" si="15"/>
        <v>1.863</v>
      </c>
      <c r="H300" s="1" t="s">
        <v>10</v>
      </c>
      <c r="J300" s="4"/>
    </row>
    <row r="301" spans="1:10">
      <c r="A301" s="13"/>
      <c r="B301" s="46" t="s">
        <v>438</v>
      </c>
      <c r="C301" s="1">
        <v>3</v>
      </c>
      <c r="D301" s="5">
        <v>4.5</v>
      </c>
      <c r="E301" s="5">
        <v>0.23</v>
      </c>
      <c r="F301" s="5">
        <v>0.6</v>
      </c>
      <c r="G301" s="4">
        <f t="shared" si="15"/>
        <v>1.863</v>
      </c>
      <c r="H301" s="1" t="s">
        <v>10</v>
      </c>
      <c r="J301" s="4"/>
    </row>
    <row r="302" spans="1:10">
      <c r="A302" s="13"/>
      <c r="B302" s="46" t="s">
        <v>439</v>
      </c>
      <c r="C302" s="1">
        <v>4</v>
      </c>
      <c r="D302" s="5">
        <v>2.5</v>
      </c>
      <c r="E302" s="5">
        <v>0.23</v>
      </c>
      <c r="F302" s="5">
        <v>0.6</v>
      </c>
      <c r="G302" s="4">
        <f t="shared" si="15"/>
        <v>1.3800000000000001</v>
      </c>
      <c r="H302" s="1" t="s">
        <v>10</v>
      </c>
      <c r="J302" s="4"/>
    </row>
    <row r="303" spans="1:10">
      <c r="A303" s="13"/>
      <c r="B303" s="46" t="s">
        <v>440</v>
      </c>
      <c r="C303" s="1">
        <v>4</v>
      </c>
      <c r="D303" s="5">
        <v>2.5</v>
      </c>
      <c r="E303" s="5">
        <v>0.23</v>
      </c>
      <c r="F303" s="5">
        <v>0.6</v>
      </c>
      <c r="G303" s="4">
        <f t="shared" si="15"/>
        <v>1.3800000000000001</v>
      </c>
      <c r="H303" s="1" t="s">
        <v>10</v>
      </c>
      <c r="J303" s="4"/>
    </row>
    <row r="304" spans="1:10">
      <c r="A304" s="13"/>
      <c r="B304" s="46" t="s">
        <v>441</v>
      </c>
      <c r="C304" s="1">
        <v>4</v>
      </c>
      <c r="D304" s="5">
        <v>1.25</v>
      </c>
      <c r="E304" s="5">
        <v>0.23</v>
      </c>
      <c r="F304" s="5">
        <v>0.6</v>
      </c>
      <c r="G304" s="4">
        <f t="shared" si="15"/>
        <v>0.69000000000000006</v>
      </c>
      <c r="H304" s="1" t="s">
        <v>10</v>
      </c>
      <c r="J304" s="4"/>
    </row>
    <row r="305" spans="1:10">
      <c r="A305" s="13"/>
      <c r="B305" s="46" t="s">
        <v>442</v>
      </c>
      <c r="C305" s="1">
        <v>4</v>
      </c>
      <c r="D305" s="5">
        <v>3.75</v>
      </c>
      <c r="E305" s="5">
        <v>0.23</v>
      </c>
      <c r="F305" s="5">
        <v>0.6</v>
      </c>
      <c r="G305" s="4">
        <f t="shared" si="15"/>
        <v>2.0699999999999998</v>
      </c>
      <c r="H305" s="1" t="s">
        <v>10</v>
      </c>
      <c r="J305" s="4"/>
    </row>
    <row r="306" spans="1:10">
      <c r="A306" s="13"/>
      <c r="B306" s="46" t="s">
        <v>625</v>
      </c>
      <c r="C306" s="1">
        <v>1</v>
      </c>
      <c r="D306" s="5">
        <v>42</v>
      </c>
      <c r="E306" s="5">
        <v>0.45</v>
      </c>
      <c r="F306" s="5">
        <v>0.45</v>
      </c>
      <c r="G306" s="4">
        <f t="shared" si="15"/>
        <v>8.5050000000000008</v>
      </c>
      <c r="H306" s="1" t="s">
        <v>10</v>
      </c>
      <c r="J306" s="4"/>
    </row>
    <row r="307" spans="1:10">
      <c r="A307" s="13"/>
      <c r="B307" s="46"/>
      <c r="C307" s="1"/>
      <c r="D307" s="5"/>
      <c r="E307" s="5"/>
      <c r="F307" s="5"/>
      <c r="G307" s="4"/>
      <c r="H307" s="1"/>
      <c r="J307" s="4"/>
    </row>
    <row r="308" spans="1:10">
      <c r="A308" s="13"/>
      <c r="B308" s="9"/>
      <c r="C308" s="1"/>
      <c r="D308" s="1"/>
      <c r="E308" s="1"/>
      <c r="F308" s="34" t="s">
        <v>11</v>
      </c>
      <c r="G308" s="53">
        <f>SUM(G294:G307)</f>
        <v>27.621450000000003</v>
      </c>
      <c r="H308" s="50" t="s">
        <v>12</v>
      </c>
      <c r="J308" s="4"/>
    </row>
    <row r="309" spans="1:10">
      <c r="A309" s="13"/>
      <c r="B309" s="6"/>
      <c r="C309" s="1"/>
      <c r="D309" s="1"/>
      <c r="E309" s="1"/>
      <c r="F309" s="56" t="s">
        <v>13</v>
      </c>
      <c r="G309" s="27">
        <f>ROUNDUP(G308,0)</f>
        <v>28</v>
      </c>
      <c r="H309" s="28" t="s">
        <v>9</v>
      </c>
      <c r="J309" s="4"/>
    </row>
    <row r="310" spans="1:10">
      <c r="A310" s="13"/>
      <c r="B310" s="6"/>
      <c r="C310" s="1"/>
      <c r="D310" s="1"/>
      <c r="E310" s="1"/>
      <c r="F310" s="1"/>
      <c r="G310" s="33"/>
      <c r="H310" s="24"/>
      <c r="I310" s="9"/>
      <c r="J310" s="4"/>
    </row>
    <row r="311" spans="1:10">
      <c r="A311" s="13"/>
      <c r="B311" s="15" t="s">
        <v>463</v>
      </c>
      <c r="C311" s="1"/>
      <c r="D311" s="1"/>
      <c r="E311" s="1"/>
      <c r="F311" s="1"/>
      <c r="G311" s="33"/>
      <c r="H311" s="24"/>
      <c r="I311" s="9"/>
      <c r="J311" s="4"/>
    </row>
    <row r="312" spans="1:10">
      <c r="A312" s="13"/>
      <c r="B312" s="46" t="s">
        <v>462</v>
      </c>
      <c r="C312" s="1">
        <v>2</v>
      </c>
      <c r="D312" s="5">
        <v>6.5</v>
      </c>
      <c r="E312" s="5">
        <v>3.35</v>
      </c>
      <c r="F312" s="5">
        <v>0.45</v>
      </c>
      <c r="G312" s="4">
        <f>C312*D312*E312*F312</f>
        <v>19.597500000000004</v>
      </c>
      <c r="H312" s="1" t="s">
        <v>12</v>
      </c>
      <c r="I312" s="9"/>
      <c r="J312" s="4"/>
    </row>
    <row r="313" spans="1:10">
      <c r="A313" s="13"/>
      <c r="B313" s="46" t="s">
        <v>449</v>
      </c>
      <c r="C313" s="1">
        <v>2</v>
      </c>
      <c r="D313" s="5">
        <v>10</v>
      </c>
      <c r="E313" s="5">
        <v>0.3</v>
      </c>
      <c r="F313" s="5">
        <v>0.45</v>
      </c>
      <c r="G313" s="4">
        <f>C313*D313*E313*F313</f>
        <v>2.7</v>
      </c>
      <c r="H313" s="1" t="s">
        <v>10</v>
      </c>
      <c r="I313" s="9"/>
      <c r="J313" s="4"/>
    </row>
    <row r="314" spans="1:10">
      <c r="A314" s="13"/>
      <c r="B314" s="46"/>
      <c r="C314" s="1">
        <v>3</v>
      </c>
      <c r="D314" s="5">
        <v>5</v>
      </c>
      <c r="E314" s="5">
        <v>0.3</v>
      </c>
      <c r="F314" s="5">
        <v>0.45</v>
      </c>
      <c r="G314" s="4">
        <f>C314*D314*E314*F314</f>
        <v>2.0249999999999999</v>
      </c>
      <c r="H314" s="1" t="s">
        <v>10</v>
      </c>
      <c r="I314" s="9"/>
      <c r="J314" s="4"/>
    </row>
    <row r="315" spans="1:10">
      <c r="A315" s="13"/>
      <c r="B315" s="46" t="s">
        <v>624</v>
      </c>
      <c r="C315" s="1">
        <v>5</v>
      </c>
      <c r="D315" s="5">
        <v>5</v>
      </c>
      <c r="E315" s="5">
        <v>0.3</v>
      </c>
      <c r="F315" s="5">
        <v>0.45</v>
      </c>
      <c r="G315" s="4">
        <f>C315*D315*E315*F315</f>
        <v>3.375</v>
      </c>
      <c r="H315" s="1" t="s">
        <v>10</v>
      </c>
      <c r="I315" s="9"/>
      <c r="J315" s="4"/>
    </row>
    <row r="316" spans="1:10">
      <c r="A316" s="13"/>
      <c r="B316" s="46"/>
      <c r="C316" s="1"/>
      <c r="D316" s="5"/>
      <c r="E316" s="5"/>
      <c r="F316" s="5"/>
      <c r="G316" s="4"/>
      <c r="H316" s="1"/>
      <c r="I316" s="9"/>
      <c r="J316" s="4"/>
    </row>
    <row r="317" spans="1:10">
      <c r="A317" s="13"/>
      <c r="B317" s="9"/>
      <c r="C317" s="1"/>
      <c r="D317" s="1"/>
      <c r="E317" s="1"/>
      <c r="F317" s="34" t="s">
        <v>11</v>
      </c>
      <c r="G317" s="53">
        <f>SUM(G312:G316)</f>
        <v>27.697500000000002</v>
      </c>
      <c r="H317" s="50" t="s">
        <v>12</v>
      </c>
      <c r="I317" s="9"/>
      <c r="J317" s="4"/>
    </row>
    <row r="318" spans="1:10">
      <c r="A318" s="13"/>
      <c r="B318" s="6"/>
      <c r="C318" s="1"/>
      <c r="D318" s="1"/>
      <c r="E318" s="1"/>
      <c r="F318" s="56" t="s">
        <v>13</v>
      </c>
      <c r="G318" s="27">
        <f>ROUNDUP(G317,0)</f>
        <v>28</v>
      </c>
      <c r="H318" s="28" t="s">
        <v>9</v>
      </c>
      <c r="I318" s="9"/>
      <c r="J318" s="4"/>
    </row>
    <row r="319" spans="1:10">
      <c r="A319" s="13"/>
      <c r="B319" s="6"/>
      <c r="C319" s="1"/>
      <c r="D319" s="1"/>
      <c r="E319" s="1"/>
      <c r="F319" s="1"/>
      <c r="G319" s="33"/>
      <c r="H319" s="24"/>
      <c r="I319" s="9"/>
      <c r="J319" s="4"/>
    </row>
    <row r="320" spans="1:10">
      <c r="A320" s="18">
        <f>A230+1</f>
        <v>12</v>
      </c>
      <c r="B320" s="9" t="s">
        <v>32</v>
      </c>
      <c r="C320" s="1"/>
      <c r="D320" s="1"/>
      <c r="E320" s="1"/>
      <c r="F320" s="1"/>
      <c r="G320" s="33"/>
      <c r="H320" s="24"/>
      <c r="I320" s="9"/>
      <c r="J320" s="4"/>
    </row>
    <row r="321" spans="1:13">
      <c r="A321" s="79"/>
      <c r="B321" s="15" t="s">
        <v>56</v>
      </c>
      <c r="C321" s="1"/>
      <c r="D321" s="5"/>
      <c r="E321" s="1"/>
      <c r="F321" s="5"/>
      <c r="G321" s="4"/>
      <c r="H321" s="1"/>
      <c r="I321" s="9"/>
      <c r="J321" s="1"/>
      <c r="K321" s="5"/>
      <c r="L321" s="5"/>
      <c r="M321" s="5"/>
    </row>
    <row r="322" spans="1:13">
      <c r="A322" s="79"/>
      <c r="B322" s="46" t="s">
        <v>94</v>
      </c>
      <c r="C322" s="1">
        <v>1</v>
      </c>
      <c r="D322" s="5">
        <f>2+0.3</f>
        <v>2.2999999999999998</v>
      </c>
      <c r="E322" s="5">
        <v>0.23</v>
      </c>
      <c r="F322" s="5">
        <v>0.15</v>
      </c>
      <c r="G322" s="4">
        <f>C322*D322*E322*F322</f>
        <v>7.9350000000000004E-2</v>
      </c>
      <c r="H322" s="1" t="s">
        <v>12</v>
      </c>
      <c r="I322" s="9"/>
      <c r="J322" s="5"/>
      <c r="K322" s="5"/>
      <c r="L322" s="5"/>
      <c r="M322" s="5"/>
    </row>
    <row r="323" spans="1:13">
      <c r="A323" s="79"/>
      <c r="B323" s="46" t="s">
        <v>454</v>
      </c>
      <c r="C323" s="1">
        <v>9</v>
      </c>
      <c r="D323" s="5">
        <f>1.2+0.3</f>
        <v>1.5</v>
      </c>
      <c r="E323" s="5">
        <v>0.23</v>
      </c>
      <c r="F323" s="5">
        <v>0.15</v>
      </c>
      <c r="G323" s="4">
        <f t="shared" ref="G323:G336" si="16">C323*D323*E323*F323</f>
        <v>0.46575</v>
      </c>
      <c r="H323" s="1" t="s">
        <v>10</v>
      </c>
      <c r="I323" s="9"/>
      <c r="J323" s="5"/>
      <c r="K323" s="5"/>
      <c r="L323" s="5"/>
      <c r="M323" s="5"/>
    </row>
    <row r="324" spans="1:13">
      <c r="A324" s="79"/>
      <c r="B324" s="46" t="s">
        <v>455</v>
      </c>
      <c r="C324" s="1">
        <v>1</v>
      </c>
      <c r="D324" s="5">
        <f>1.5+0.3</f>
        <v>1.8</v>
      </c>
      <c r="E324" s="5">
        <v>0.23</v>
      </c>
      <c r="F324" s="5">
        <v>0.15</v>
      </c>
      <c r="G324" s="4">
        <f t="shared" si="16"/>
        <v>6.2100000000000002E-2</v>
      </c>
      <c r="H324" s="1" t="s">
        <v>10</v>
      </c>
      <c r="I324" s="9"/>
      <c r="J324" s="5"/>
      <c r="K324" s="5"/>
      <c r="L324" s="5"/>
      <c r="M324" s="5"/>
    </row>
    <row r="325" spans="1:13">
      <c r="A325" s="79"/>
      <c r="B325" s="46" t="s">
        <v>30</v>
      </c>
      <c r="C325" s="1">
        <v>1</v>
      </c>
      <c r="D325" s="5">
        <f>1.8+0.3</f>
        <v>2.1</v>
      </c>
      <c r="E325" s="5">
        <v>0.23</v>
      </c>
      <c r="F325" s="5">
        <v>0.15</v>
      </c>
      <c r="G325" s="4">
        <f t="shared" si="16"/>
        <v>7.2450000000000001E-2</v>
      </c>
      <c r="H325" s="1" t="s">
        <v>10</v>
      </c>
      <c r="I325" s="9"/>
      <c r="J325" s="5"/>
      <c r="K325" s="5"/>
      <c r="L325" s="5"/>
      <c r="M325" s="5"/>
    </row>
    <row r="326" spans="1:13">
      <c r="A326" s="79"/>
      <c r="B326" s="46" t="s">
        <v>456</v>
      </c>
      <c r="C326" s="1">
        <v>1</v>
      </c>
      <c r="D326" s="5">
        <f>1.5+0.3</f>
        <v>1.8</v>
      </c>
      <c r="E326" s="5">
        <v>0.23</v>
      </c>
      <c r="F326" s="5">
        <v>0.15</v>
      </c>
      <c r="G326" s="4">
        <f t="shared" si="16"/>
        <v>6.2100000000000002E-2</v>
      </c>
      <c r="H326" s="1" t="s">
        <v>10</v>
      </c>
      <c r="I326" s="9"/>
      <c r="J326" s="5"/>
      <c r="K326" s="5"/>
      <c r="L326" s="5"/>
      <c r="M326" s="5"/>
    </row>
    <row r="327" spans="1:13">
      <c r="A327" s="79"/>
      <c r="B327" s="46" t="s">
        <v>29</v>
      </c>
      <c r="C327" s="1">
        <v>11</v>
      </c>
      <c r="D327" s="5">
        <f>1.35+0.3</f>
        <v>1.6500000000000001</v>
      </c>
      <c r="E327" s="5">
        <v>0.23</v>
      </c>
      <c r="F327" s="5">
        <v>0.15</v>
      </c>
      <c r="G327" s="4">
        <f t="shared" si="16"/>
        <v>0.62617500000000015</v>
      </c>
      <c r="H327" s="1" t="s">
        <v>10</v>
      </c>
      <c r="I327" s="9"/>
      <c r="J327" s="5"/>
      <c r="K327" s="5"/>
      <c r="L327" s="5"/>
      <c r="M327" s="5"/>
    </row>
    <row r="328" spans="1:13">
      <c r="A328" s="79"/>
      <c r="B328" s="46" t="s">
        <v>95</v>
      </c>
      <c r="C328" s="1">
        <v>2</v>
      </c>
      <c r="D328" s="5">
        <f>1.2+0.3</f>
        <v>1.5</v>
      </c>
      <c r="E328" s="5">
        <v>0.23</v>
      </c>
      <c r="F328" s="5">
        <v>0.15</v>
      </c>
      <c r="G328" s="4">
        <f t="shared" si="16"/>
        <v>0.10350000000000001</v>
      </c>
      <c r="H328" s="1" t="s">
        <v>10</v>
      </c>
      <c r="I328" s="9"/>
      <c r="J328" s="5"/>
    </row>
    <row r="329" spans="1:13">
      <c r="A329" s="79"/>
      <c r="B329" s="46" t="s">
        <v>96</v>
      </c>
      <c r="C329" s="1">
        <v>3</v>
      </c>
      <c r="D329" s="5">
        <f>1.05+0.3</f>
        <v>1.35</v>
      </c>
      <c r="E329" s="5">
        <v>0.23</v>
      </c>
      <c r="F329" s="5">
        <v>0.15</v>
      </c>
      <c r="G329" s="4">
        <f t="shared" si="16"/>
        <v>0.13972500000000002</v>
      </c>
      <c r="H329" s="1" t="s">
        <v>10</v>
      </c>
      <c r="I329" s="9"/>
      <c r="J329" s="5"/>
    </row>
    <row r="330" spans="1:13">
      <c r="A330" s="79"/>
      <c r="B330" s="46" t="s">
        <v>98</v>
      </c>
      <c r="C330" s="1">
        <v>3</v>
      </c>
      <c r="D330" s="5">
        <f>0.9+0.3</f>
        <v>1.2</v>
      </c>
      <c r="E330" s="5">
        <v>0.23</v>
      </c>
      <c r="F330" s="5">
        <v>0.15</v>
      </c>
      <c r="G330" s="4">
        <f t="shared" si="16"/>
        <v>0.12419999999999999</v>
      </c>
      <c r="H330" s="1" t="s">
        <v>10</v>
      </c>
      <c r="I330" s="9"/>
      <c r="J330" s="5"/>
    </row>
    <row r="331" spans="1:13">
      <c r="A331" s="79"/>
      <c r="B331" s="46" t="s">
        <v>100</v>
      </c>
      <c r="C331" s="1">
        <v>9</v>
      </c>
      <c r="D331" s="5">
        <f>1.8+0.3</f>
        <v>2.1</v>
      </c>
      <c r="E331" s="5">
        <v>0.23</v>
      </c>
      <c r="F331" s="5">
        <v>0.15</v>
      </c>
      <c r="G331" s="4">
        <f t="shared" si="16"/>
        <v>0.65205000000000002</v>
      </c>
      <c r="H331" s="1" t="s">
        <v>10</v>
      </c>
      <c r="I331" s="9"/>
      <c r="J331" s="5"/>
    </row>
    <row r="332" spans="1:13">
      <c r="A332" s="79"/>
      <c r="B332" s="46" t="s">
        <v>457</v>
      </c>
      <c r="C332" s="1">
        <v>2</v>
      </c>
      <c r="D332" s="5">
        <f>0.6+0.3</f>
        <v>0.89999999999999991</v>
      </c>
      <c r="E332" s="5">
        <v>0.23</v>
      </c>
      <c r="F332" s="5">
        <v>0.15</v>
      </c>
      <c r="G332" s="4">
        <f t="shared" si="16"/>
        <v>6.2099999999999995E-2</v>
      </c>
      <c r="H332" s="1" t="s">
        <v>10</v>
      </c>
      <c r="I332" s="9"/>
      <c r="J332" s="5"/>
    </row>
    <row r="333" spans="1:13">
      <c r="A333" s="79"/>
      <c r="B333" s="46" t="s">
        <v>447</v>
      </c>
      <c r="C333" s="1">
        <v>2</v>
      </c>
      <c r="D333" s="5">
        <f>0.45+0.3</f>
        <v>0.75</v>
      </c>
      <c r="E333" s="5">
        <v>0.23</v>
      </c>
      <c r="F333" s="5">
        <v>0.15</v>
      </c>
      <c r="G333" s="4">
        <f t="shared" si="16"/>
        <v>5.1750000000000004E-2</v>
      </c>
      <c r="H333" s="1" t="s">
        <v>10</v>
      </c>
      <c r="I333" s="9"/>
      <c r="J333" s="5"/>
    </row>
    <row r="334" spans="1:13">
      <c r="A334" s="79"/>
      <c r="B334" s="46" t="s">
        <v>108</v>
      </c>
      <c r="C334" s="1">
        <v>5</v>
      </c>
      <c r="D334" s="5">
        <f>0.3+0.6</f>
        <v>0.89999999999999991</v>
      </c>
      <c r="E334" s="5">
        <v>0.23</v>
      </c>
      <c r="F334" s="5">
        <v>0.15</v>
      </c>
      <c r="G334" s="4">
        <f t="shared" si="16"/>
        <v>0.15525000000000003</v>
      </c>
      <c r="H334" s="1" t="s">
        <v>10</v>
      </c>
      <c r="I334" s="9"/>
      <c r="J334" s="5"/>
    </row>
    <row r="335" spans="1:13">
      <c r="A335" s="79"/>
      <c r="B335" s="46" t="s">
        <v>458</v>
      </c>
      <c r="C335" s="1">
        <v>2</v>
      </c>
      <c r="D335" s="5">
        <f>1.8+0.3</f>
        <v>2.1</v>
      </c>
      <c r="E335" s="5">
        <v>0.23</v>
      </c>
      <c r="F335" s="5">
        <v>0.15</v>
      </c>
      <c r="G335" s="4">
        <f t="shared" si="16"/>
        <v>0.1449</v>
      </c>
      <c r="H335" s="1" t="s">
        <v>10</v>
      </c>
      <c r="I335" s="9"/>
      <c r="J335" s="5"/>
    </row>
    <row r="336" spans="1:13">
      <c r="A336" s="79"/>
      <c r="B336" s="46" t="s">
        <v>459</v>
      </c>
      <c r="C336" s="1">
        <v>1</v>
      </c>
      <c r="D336" s="5">
        <v>60</v>
      </c>
      <c r="E336" s="5">
        <v>0.115</v>
      </c>
      <c r="F336" s="5">
        <v>0.15</v>
      </c>
      <c r="G336" s="4">
        <f t="shared" si="16"/>
        <v>1.0349999999999999</v>
      </c>
      <c r="H336" s="1" t="s">
        <v>10</v>
      </c>
      <c r="I336" s="9"/>
      <c r="J336" s="5"/>
    </row>
    <row r="337" spans="1:12">
      <c r="A337" s="79"/>
      <c r="B337" s="46"/>
      <c r="C337" s="1"/>
      <c r="D337" s="5"/>
      <c r="E337" s="5"/>
      <c r="F337" s="5"/>
      <c r="G337" s="4"/>
      <c r="H337" s="1"/>
      <c r="I337" s="9"/>
      <c r="J337" s="4"/>
    </row>
    <row r="338" spans="1:12">
      <c r="A338" s="79"/>
      <c r="B338" s="74"/>
      <c r="C338" s="1"/>
      <c r="D338" s="5"/>
      <c r="E338" s="1"/>
      <c r="F338" s="34" t="s">
        <v>11</v>
      </c>
      <c r="G338" s="53">
        <f>SUM(G322:G337)</f>
        <v>3.8364000000000003</v>
      </c>
      <c r="H338" s="50" t="s">
        <v>12</v>
      </c>
      <c r="I338" s="9"/>
      <c r="J338" s="4"/>
    </row>
    <row r="339" spans="1:12">
      <c r="A339" s="13"/>
      <c r="B339" s="9"/>
      <c r="C339" s="1"/>
      <c r="D339" s="1"/>
      <c r="E339" s="1"/>
      <c r="F339" s="56" t="s">
        <v>13</v>
      </c>
      <c r="G339" s="27">
        <f>ROUNDUP(G338,0)</f>
        <v>4</v>
      </c>
      <c r="H339" s="28" t="s">
        <v>9</v>
      </c>
      <c r="I339" s="9"/>
      <c r="J339" s="4"/>
    </row>
    <row r="340" spans="1:12">
      <c r="A340" s="13"/>
      <c r="C340" s="1"/>
      <c r="D340" s="1"/>
      <c r="E340" s="1"/>
      <c r="F340" s="1"/>
      <c r="G340" s="33"/>
      <c r="H340" s="24"/>
      <c r="I340" s="9"/>
      <c r="J340" s="4"/>
    </row>
    <row r="341" spans="1:12">
      <c r="A341" s="13"/>
      <c r="B341" s="15" t="s">
        <v>445</v>
      </c>
      <c r="C341" s="1"/>
      <c r="D341" s="5"/>
      <c r="E341" s="1"/>
      <c r="F341" s="5"/>
      <c r="G341" s="4"/>
      <c r="H341" s="1"/>
      <c r="I341" s="9"/>
      <c r="J341" s="4"/>
    </row>
    <row r="342" spans="1:12">
      <c r="A342" s="13"/>
      <c r="B342" s="46" t="s">
        <v>460</v>
      </c>
      <c r="C342" s="1">
        <v>6</v>
      </c>
      <c r="D342" s="5">
        <f>1.35+0.3</f>
        <v>1.6500000000000001</v>
      </c>
      <c r="E342" s="1">
        <v>0.23</v>
      </c>
      <c r="F342" s="5">
        <v>0.15</v>
      </c>
      <c r="G342" s="4">
        <f>C342*D342*E342*F342</f>
        <v>0.34155000000000002</v>
      </c>
      <c r="H342" s="1" t="s">
        <v>12</v>
      </c>
      <c r="I342" s="9"/>
      <c r="J342" s="46"/>
      <c r="K342" s="1"/>
      <c r="L342" s="5"/>
    </row>
    <row r="343" spans="1:12">
      <c r="A343" s="13"/>
      <c r="B343" s="46" t="s">
        <v>97</v>
      </c>
      <c r="C343" s="1">
        <v>4</v>
      </c>
      <c r="D343" s="5">
        <f>1.05+0.3</f>
        <v>1.35</v>
      </c>
      <c r="E343" s="1">
        <v>0.23</v>
      </c>
      <c r="F343" s="5">
        <v>0.15</v>
      </c>
      <c r="G343" s="4">
        <f t="shared" ref="G343:G352" si="17">C343*D343*E343*F343</f>
        <v>0.18630000000000002</v>
      </c>
      <c r="H343" s="1" t="s">
        <v>10</v>
      </c>
      <c r="I343" s="9"/>
      <c r="J343" s="46"/>
      <c r="K343" s="1"/>
      <c r="L343" s="5"/>
    </row>
    <row r="344" spans="1:12">
      <c r="A344" s="13"/>
      <c r="B344" s="46" t="s">
        <v>98</v>
      </c>
      <c r="C344" s="1">
        <v>2</v>
      </c>
      <c r="D344" s="5">
        <f>0.9+0.3</f>
        <v>1.2</v>
      </c>
      <c r="E344" s="1">
        <v>0.23</v>
      </c>
      <c r="F344" s="5">
        <v>0.15</v>
      </c>
      <c r="G344" s="4">
        <f t="shared" si="17"/>
        <v>8.2799999999999999E-2</v>
      </c>
      <c r="H344" s="1" t="s">
        <v>10</v>
      </c>
      <c r="I344" s="9"/>
      <c r="J344" s="46"/>
      <c r="K344" s="1"/>
      <c r="L344" s="5"/>
    </row>
    <row r="345" spans="1:12">
      <c r="A345" s="13"/>
      <c r="B345" s="46" t="s">
        <v>100</v>
      </c>
      <c r="C345" s="1">
        <v>4</v>
      </c>
      <c r="D345" s="5">
        <f>1.8+0.3</f>
        <v>2.1</v>
      </c>
      <c r="E345" s="1">
        <v>0.23</v>
      </c>
      <c r="F345" s="5">
        <v>0.15</v>
      </c>
      <c r="G345" s="4">
        <f t="shared" si="17"/>
        <v>0.2898</v>
      </c>
      <c r="H345" s="1" t="s">
        <v>10</v>
      </c>
      <c r="I345" s="9"/>
      <c r="J345" s="46"/>
      <c r="K345" s="1"/>
      <c r="L345" s="5"/>
    </row>
    <row r="346" spans="1:12">
      <c r="A346" s="13"/>
      <c r="B346" s="46" t="s">
        <v>102</v>
      </c>
      <c r="C346" s="1">
        <v>2</v>
      </c>
      <c r="D346" s="5">
        <f>1.2+0.3</f>
        <v>1.5</v>
      </c>
      <c r="E346" s="1">
        <v>0.23</v>
      </c>
      <c r="F346" s="5">
        <v>0.15</v>
      </c>
      <c r="G346" s="4">
        <f t="shared" si="17"/>
        <v>0.10350000000000001</v>
      </c>
      <c r="H346" s="1" t="s">
        <v>10</v>
      </c>
      <c r="I346" s="9"/>
      <c r="J346" s="46"/>
      <c r="K346" s="1"/>
      <c r="L346" s="5"/>
    </row>
    <row r="347" spans="1:12">
      <c r="A347" s="13"/>
      <c r="B347" s="46" t="s">
        <v>446</v>
      </c>
      <c r="C347" s="1">
        <v>2</v>
      </c>
      <c r="D347" s="5">
        <f>1.2+0.3</f>
        <v>1.5</v>
      </c>
      <c r="E347" s="1">
        <v>0.23</v>
      </c>
      <c r="F347" s="5">
        <v>0.15</v>
      </c>
      <c r="G347" s="4">
        <f t="shared" si="17"/>
        <v>0.10350000000000001</v>
      </c>
      <c r="H347" s="1" t="s">
        <v>10</v>
      </c>
      <c r="I347" s="9"/>
      <c r="J347" s="46"/>
      <c r="K347" s="1"/>
      <c r="L347" s="5"/>
    </row>
    <row r="348" spans="1:12">
      <c r="A348" s="13"/>
      <c r="B348" s="46" t="s">
        <v>447</v>
      </c>
      <c r="C348" s="1">
        <v>2</v>
      </c>
      <c r="D348" s="5">
        <f>0.45+0.3</f>
        <v>0.75</v>
      </c>
      <c r="E348" s="1">
        <v>0.23</v>
      </c>
      <c r="F348" s="5">
        <v>0.15</v>
      </c>
      <c r="G348" s="4">
        <f t="shared" si="17"/>
        <v>5.1750000000000004E-2</v>
      </c>
      <c r="H348" s="1" t="s">
        <v>10</v>
      </c>
      <c r="I348" s="9"/>
      <c r="J348" s="46"/>
      <c r="K348" s="1"/>
      <c r="L348" s="5"/>
    </row>
    <row r="349" spans="1:12">
      <c r="A349" s="13"/>
      <c r="B349" s="46" t="s">
        <v>106</v>
      </c>
      <c r="C349" s="1">
        <v>4</v>
      </c>
      <c r="D349" s="5">
        <f>0.9+0.3</f>
        <v>1.2</v>
      </c>
      <c r="E349" s="1">
        <v>0.23</v>
      </c>
      <c r="F349" s="5">
        <v>0.15</v>
      </c>
      <c r="G349" s="4">
        <f t="shared" si="17"/>
        <v>0.1656</v>
      </c>
      <c r="H349" s="1" t="s">
        <v>10</v>
      </c>
      <c r="I349" s="9"/>
      <c r="J349" s="46"/>
      <c r="K349" s="1"/>
      <c r="L349" s="5"/>
    </row>
    <row r="350" spans="1:12">
      <c r="A350" s="13"/>
      <c r="B350" s="46" t="s">
        <v>107</v>
      </c>
      <c r="C350" s="1">
        <v>5</v>
      </c>
      <c r="D350" s="5">
        <f>0.75+0.6</f>
        <v>1.35</v>
      </c>
      <c r="E350" s="1">
        <v>0.23</v>
      </c>
      <c r="F350" s="5">
        <v>0.15</v>
      </c>
      <c r="G350" s="4">
        <f t="shared" si="17"/>
        <v>0.232875</v>
      </c>
      <c r="H350" s="1" t="s">
        <v>10</v>
      </c>
      <c r="I350" s="9"/>
      <c r="J350" s="46"/>
      <c r="K350" s="1"/>
      <c r="L350" s="5"/>
    </row>
    <row r="351" spans="1:12">
      <c r="A351" s="13"/>
      <c r="B351" s="46" t="s">
        <v>108</v>
      </c>
      <c r="C351" s="1">
        <v>3</v>
      </c>
      <c r="D351" s="5">
        <f>0.6+0.6</f>
        <v>1.2</v>
      </c>
      <c r="E351" s="1">
        <v>0.23</v>
      </c>
      <c r="F351" s="5">
        <v>0.15</v>
      </c>
      <c r="G351" s="4">
        <f t="shared" si="17"/>
        <v>0.12419999999999999</v>
      </c>
      <c r="H351" s="1" t="s">
        <v>10</v>
      </c>
      <c r="I351" s="9"/>
      <c r="J351" s="46"/>
      <c r="K351" s="1"/>
      <c r="L351" s="5"/>
    </row>
    <row r="352" spans="1:12">
      <c r="A352" s="13"/>
      <c r="B352" s="46" t="s">
        <v>459</v>
      </c>
      <c r="C352" s="1">
        <v>1</v>
      </c>
      <c r="D352" s="5">
        <f>D117</f>
        <v>116</v>
      </c>
      <c r="E352" s="5">
        <v>0.115</v>
      </c>
      <c r="F352" s="5">
        <v>0.15</v>
      </c>
      <c r="G352" s="4">
        <f t="shared" si="17"/>
        <v>2.0009999999999999</v>
      </c>
      <c r="H352" s="1" t="s">
        <v>10</v>
      </c>
      <c r="I352" s="9"/>
      <c r="J352" s="4"/>
    </row>
    <row r="353" spans="1:10">
      <c r="A353" s="13"/>
      <c r="B353" s="46"/>
      <c r="C353" s="1"/>
      <c r="D353" s="5"/>
      <c r="E353" s="5"/>
      <c r="F353" s="5"/>
      <c r="G353" s="4"/>
      <c r="H353" s="1"/>
      <c r="I353" s="9"/>
      <c r="J353" s="4"/>
    </row>
    <row r="354" spans="1:10">
      <c r="A354" s="13"/>
      <c r="B354" s="74"/>
      <c r="C354" s="1"/>
      <c r="D354" s="5"/>
      <c r="E354" s="1"/>
      <c r="F354" s="34" t="s">
        <v>11</v>
      </c>
      <c r="G354" s="53">
        <f>SUM(G342:G353)</f>
        <v>3.6828749999999997</v>
      </c>
      <c r="H354" s="50" t="s">
        <v>12</v>
      </c>
      <c r="I354" s="9"/>
      <c r="J354" s="4"/>
    </row>
    <row r="355" spans="1:10">
      <c r="A355" s="13"/>
      <c r="B355" s="9"/>
      <c r="C355" s="1"/>
      <c r="D355" s="1"/>
      <c r="E355" s="1"/>
      <c r="F355" s="56" t="s">
        <v>13</v>
      </c>
      <c r="G355" s="27">
        <f>ROUNDUP(G354,0)</f>
        <v>4</v>
      </c>
      <c r="H355" s="28" t="s">
        <v>9</v>
      </c>
      <c r="I355" s="9"/>
      <c r="J355" s="4"/>
    </row>
    <row r="356" spans="1:10">
      <c r="A356" s="13"/>
      <c r="B356" s="9"/>
      <c r="C356" s="1"/>
      <c r="D356" s="1"/>
      <c r="E356" s="1"/>
      <c r="F356" s="1"/>
      <c r="G356" s="33"/>
      <c r="H356" s="24"/>
      <c r="I356" s="9"/>
      <c r="J356" s="4"/>
    </row>
    <row r="357" spans="1:10">
      <c r="A357" s="13"/>
      <c r="B357" s="15" t="s">
        <v>57</v>
      </c>
      <c r="C357" s="1"/>
      <c r="D357" s="5"/>
      <c r="E357" s="1"/>
      <c r="F357" s="5"/>
      <c r="G357" s="4"/>
      <c r="H357" s="1"/>
      <c r="I357" s="9"/>
      <c r="J357" s="4"/>
    </row>
    <row r="358" spans="1:10">
      <c r="A358" s="13"/>
      <c r="B358" s="46" t="s">
        <v>460</v>
      </c>
      <c r="C358" s="1">
        <v>5</v>
      </c>
      <c r="D358" s="5">
        <f>1.35+0.3</f>
        <v>1.6500000000000001</v>
      </c>
      <c r="E358" s="1">
        <v>0.23</v>
      </c>
      <c r="F358" s="5">
        <v>0.15</v>
      </c>
      <c r="G358" s="4">
        <f t="shared" ref="G358:G363" si="18">C358*D358*E358*F358</f>
        <v>0.28462500000000002</v>
      </c>
      <c r="H358" s="1" t="s">
        <v>12</v>
      </c>
      <c r="I358" s="9"/>
      <c r="J358" s="4"/>
    </row>
    <row r="359" spans="1:10">
      <c r="A359" s="13"/>
      <c r="B359" s="46" t="s">
        <v>97</v>
      </c>
      <c r="C359" s="1">
        <v>2</v>
      </c>
      <c r="D359" s="5">
        <v>1.5</v>
      </c>
      <c r="E359" s="1">
        <v>0.23</v>
      </c>
      <c r="F359" s="5">
        <v>0.15</v>
      </c>
      <c r="G359" s="4">
        <f t="shared" si="18"/>
        <v>0.10350000000000001</v>
      </c>
      <c r="H359" s="1" t="s">
        <v>10</v>
      </c>
      <c r="I359" s="9"/>
      <c r="J359" s="4"/>
    </row>
    <row r="360" spans="1:10">
      <c r="A360" s="13"/>
      <c r="B360" s="46" t="s">
        <v>100</v>
      </c>
      <c r="C360" s="1">
        <v>6</v>
      </c>
      <c r="D360" s="5">
        <v>2.2999999999999998</v>
      </c>
      <c r="E360" s="1">
        <v>0.23</v>
      </c>
      <c r="F360" s="5">
        <v>0.15</v>
      </c>
      <c r="G360" s="4">
        <f t="shared" si="18"/>
        <v>0.47609999999999997</v>
      </c>
      <c r="H360" s="1" t="s">
        <v>10</v>
      </c>
      <c r="I360" s="9"/>
      <c r="J360" s="4"/>
    </row>
    <row r="361" spans="1:10">
      <c r="A361" s="13"/>
      <c r="B361" s="46" t="s">
        <v>107</v>
      </c>
      <c r="C361" s="1">
        <v>7</v>
      </c>
      <c r="D361" s="5">
        <v>1.7</v>
      </c>
      <c r="E361" s="1">
        <v>0.23</v>
      </c>
      <c r="F361" s="5">
        <v>0.15</v>
      </c>
      <c r="G361" s="4">
        <f t="shared" si="18"/>
        <v>0.41055000000000003</v>
      </c>
      <c r="H361" s="1" t="s">
        <v>10</v>
      </c>
      <c r="I361" s="9"/>
      <c r="J361" s="4"/>
    </row>
    <row r="362" spans="1:10">
      <c r="A362" s="13"/>
      <c r="B362" s="46" t="s">
        <v>108</v>
      </c>
      <c r="C362" s="1">
        <v>4</v>
      </c>
      <c r="D362" s="5">
        <v>1.4</v>
      </c>
      <c r="E362" s="1">
        <v>0.23</v>
      </c>
      <c r="F362" s="5">
        <v>0.15</v>
      </c>
      <c r="G362" s="4">
        <f t="shared" si="18"/>
        <v>0.19320000000000001</v>
      </c>
      <c r="H362" s="1" t="s">
        <v>10</v>
      </c>
      <c r="I362" s="9"/>
      <c r="J362" s="4"/>
    </row>
    <row r="363" spans="1:10">
      <c r="A363" s="13"/>
      <c r="B363" s="46" t="s">
        <v>459</v>
      </c>
      <c r="C363" s="1">
        <v>1</v>
      </c>
      <c r="D363" s="5">
        <v>61</v>
      </c>
      <c r="E363" s="5">
        <v>0.115</v>
      </c>
      <c r="F363" s="5">
        <v>0.15</v>
      </c>
      <c r="G363" s="4">
        <f t="shared" si="18"/>
        <v>1.0522500000000001</v>
      </c>
      <c r="H363" s="1" t="s">
        <v>10</v>
      </c>
      <c r="I363" s="9"/>
      <c r="J363" s="4"/>
    </row>
    <row r="364" spans="1:10">
      <c r="A364" s="13"/>
      <c r="B364" s="46"/>
      <c r="C364" s="1"/>
      <c r="D364" s="5"/>
      <c r="E364" s="5"/>
      <c r="F364" s="5"/>
      <c r="G364" s="4"/>
      <c r="H364" s="1"/>
      <c r="I364" s="9"/>
      <c r="J364" s="4"/>
    </row>
    <row r="365" spans="1:10">
      <c r="A365" s="13"/>
      <c r="B365" s="74"/>
      <c r="C365" s="1"/>
      <c r="D365" s="5"/>
      <c r="E365" s="1"/>
      <c r="F365" s="34" t="s">
        <v>11</v>
      </c>
      <c r="G365" s="53">
        <f>SUM(G358:G364)</f>
        <v>2.5202249999999999</v>
      </c>
      <c r="H365" s="50" t="s">
        <v>12</v>
      </c>
      <c r="I365" s="9"/>
      <c r="J365" s="4"/>
    </row>
    <row r="366" spans="1:10">
      <c r="A366" s="13"/>
      <c r="B366" s="9"/>
      <c r="C366" s="1"/>
      <c r="D366" s="1"/>
      <c r="E366" s="1"/>
      <c r="F366" s="56" t="s">
        <v>13</v>
      </c>
      <c r="G366" s="27">
        <f>ROUNDUP(G365,0)</f>
        <v>3</v>
      </c>
      <c r="H366" s="28" t="s">
        <v>9</v>
      </c>
      <c r="I366" s="9"/>
      <c r="J366" s="4"/>
    </row>
    <row r="367" spans="1:10">
      <c r="A367" s="13"/>
      <c r="B367" s="9"/>
      <c r="C367" s="1"/>
      <c r="D367" s="1"/>
      <c r="E367" s="1"/>
      <c r="F367" s="1"/>
      <c r="G367" s="33"/>
      <c r="H367" s="24"/>
      <c r="I367" s="9"/>
      <c r="J367" s="4"/>
    </row>
    <row r="368" spans="1:10">
      <c r="A368" s="18">
        <f>A320+1</f>
        <v>13</v>
      </c>
      <c r="B368" s="9" t="s">
        <v>90</v>
      </c>
      <c r="H368" s="24"/>
      <c r="I368" s="9"/>
      <c r="J368" s="4"/>
    </row>
    <row r="369" spans="1:10">
      <c r="A369" s="13"/>
      <c r="B369" s="15" t="s">
        <v>56</v>
      </c>
      <c r="C369" s="1"/>
      <c r="D369" s="5"/>
      <c r="E369" s="1"/>
      <c r="F369" s="5"/>
      <c r="G369" s="4"/>
      <c r="H369" s="24"/>
      <c r="I369" s="9"/>
      <c r="J369" s="4"/>
    </row>
    <row r="370" spans="1:10">
      <c r="A370" s="13"/>
      <c r="B370" s="46"/>
      <c r="C370" s="1">
        <f>0.5*27</f>
        <v>13.5</v>
      </c>
      <c r="D370" s="5">
        <v>1.6</v>
      </c>
      <c r="E370" s="5">
        <v>0.3</v>
      </c>
      <c r="F370" s="5">
        <v>0.15</v>
      </c>
      <c r="G370" s="4">
        <f>C370*D370*E370*F370</f>
        <v>0.97199999999999998</v>
      </c>
      <c r="H370" s="1" t="s">
        <v>12</v>
      </c>
      <c r="I370" s="9"/>
      <c r="J370" s="4"/>
    </row>
    <row r="371" spans="1:10">
      <c r="A371" s="13"/>
      <c r="B371" s="46"/>
      <c r="C371" s="1">
        <v>27</v>
      </c>
      <c r="D371" s="5">
        <v>1.6</v>
      </c>
      <c r="E371" s="5">
        <v>0.3</v>
      </c>
      <c r="F371" s="5">
        <v>0.15</v>
      </c>
      <c r="G371" s="4">
        <f t="shared" ref="G371:G380" si="19">C371*D371*E371*F371</f>
        <v>1.944</v>
      </c>
      <c r="H371" s="1" t="s">
        <v>10</v>
      </c>
      <c r="I371" s="9"/>
      <c r="J371" s="4"/>
    </row>
    <row r="372" spans="1:10">
      <c r="A372" s="13"/>
      <c r="B372" s="46"/>
      <c r="C372" s="1">
        <v>2</v>
      </c>
      <c r="D372" s="5">
        <v>1.6</v>
      </c>
      <c r="E372" s="5">
        <v>1.6</v>
      </c>
      <c r="F372" s="5">
        <v>0.15</v>
      </c>
      <c r="G372" s="4">
        <f t="shared" si="19"/>
        <v>0.76800000000000013</v>
      </c>
      <c r="H372" s="1" t="s">
        <v>10</v>
      </c>
      <c r="I372" s="9"/>
      <c r="J372" s="4"/>
    </row>
    <row r="373" spans="1:10">
      <c r="A373" s="13"/>
      <c r="B373" s="46"/>
      <c r="C373" s="1">
        <f>0.5*27</f>
        <v>13.5</v>
      </c>
      <c r="D373" s="5">
        <v>1.35</v>
      </c>
      <c r="E373" s="5">
        <v>0.3</v>
      </c>
      <c r="F373" s="5">
        <v>0.15</v>
      </c>
      <c r="G373" s="4">
        <f t="shared" si="19"/>
        <v>0.82012499999999999</v>
      </c>
      <c r="H373" s="1" t="s">
        <v>10</v>
      </c>
      <c r="I373" s="9"/>
      <c r="J373" s="4"/>
    </row>
    <row r="374" spans="1:10">
      <c r="A374" s="13"/>
      <c r="B374" s="46"/>
      <c r="C374" s="1">
        <v>27</v>
      </c>
      <c r="D374" s="5">
        <v>1.35</v>
      </c>
      <c r="E374" s="5">
        <v>0.3</v>
      </c>
      <c r="F374" s="5">
        <v>0.15</v>
      </c>
      <c r="G374" s="4">
        <f t="shared" si="19"/>
        <v>1.64025</v>
      </c>
      <c r="H374" s="1" t="s">
        <v>10</v>
      </c>
      <c r="I374" s="9"/>
      <c r="J374" s="4"/>
    </row>
    <row r="375" spans="1:10">
      <c r="A375" s="13"/>
      <c r="B375" s="46"/>
      <c r="C375" s="1">
        <v>1</v>
      </c>
      <c r="D375" s="5">
        <v>2.9</v>
      </c>
      <c r="E375" s="5">
        <v>1.41</v>
      </c>
      <c r="F375" s="5">
        <v>0.15</v>
      </c>
      <c r="G375" s="4">
        <f t="shared" si="19"/>
        <v>0.61334999999999995</v>
      </c>
      <c r="H375" s="1" t="s">
        <v>10</v>
      </c>
      <c r="I375" s="9"/>
      <c r="J375" s="4"/>
    </row>
    <row r="376" spans="1:10">
      <c r="A376" s="13"/>
      <c r="B376" s="46" t="s">
        <v>461</v>
      </c>
      <c r="C376" s="1">
        <v>9</v>
      </c>
      <c r="D376" s="5">
        <v>1.5049999999999999</v>
      </c>
      <c r="E376" s="5">
        <v>0.3</v>
      </c>
      <c r="F376" s="1">
        <v>0.15</v>
      </c>
      <c r="G376" s="4">
        <f t="shared" si="19"/>
        <v>0.60952499999999987</v>
      </c>
      <c r="H376" s="1" t="s">
        <v>10</v>
      </c>
      <c r="I376" s="9"/>
      <c r="J376" s="4"/>
    </row>
    <row r="377" spans="1:10">
      <c r="A377" s="13"/>
      <c r="B377" s="46"/>
      <c r="C377" s="1">
        <v>1</v>
      </c>
      <c r="D377" s="5">
        <v>1.5049999999999999</v>
      </c>
      <c r="E377" s="5">
        <v>0.91</v>
      </c>
      <c r="F377" s="1">
        <v>0.15</v>
      </c>
      <c r="G377" s="4">
        <f t="shared" si="19"/>
        <v>0.20543249999999999</v>
      </c>
      <c r="H377" s="1" t="s">
        <v>10</v>
      </c>
      <c r="I377" s="9"/>
      <c r="J377" s="4"/>
    </row>
    <row r="378" spans="1:10">
      <c r="A378" s="13"/>
      <c r="B378" s="46"/>
      <c r="C378" s="1">
        <v>27</v>
      </c>
      <c r="D378" s="5">
        <v>1.5</v>
      </c>
      <c r="E378" s="5">
        <v>0.3</v>
      </c>
      <c r="F378" s="1">
        <v>0.15</v>
      </c>
      <c r="G378" s="4">
        <f t="shared" si="19"/>
        <v>1.8225</v>
      </c>
      <c r="H378" s="1" t="s">
        <v>10</v>
      </c>
      <c r="I378" s="9"/>
      <c r="J378" s="4"/>
    </row>
    <row r="379" spans="1:10">
      <c r="A379" s="13"/>
      <c r="B379" s="46"/>
      <c r="C379" s="1">
        <v>15</v>
      </c>
      <c r="D379" s="5">
        <v>1.2</v>
      </c>
      <c r="E379" s="5">
        <v>0.3</v>
      </c>
      <c r="F379" s="1">
        <v>0.15</v>
      </c>
      <c r="G379" s="4">
        <f t="shared" si="19"/>
        <v>0.80999999999999994</v>
      </c>
      <c r="H379" s="1" t="s">
        <v>10</v>
      </c>
      <c r="I379" s="9"/>
      <c r="J379" s="4"/>
    </row>
    <row r="380" spans="1:10">
      <c r="A380" s="13"/>
      <c r="B380" s="46"/>
      <c r="C380" s="1">
        <v>5</v>
      </c>
      <c r="D380" s="5">
        <v>2.56</v>
      </c>
      <c r="E380" s="5">
        <v>0.3</v>
      </c>
      <c r="F380" s="1">
        <v>0.15</v>
      </c>
      <c r="G380" s="4">
        <f t="shared" si="19"/>
        <v>0.57599999999999996</v>
      </c>
      <c r="H380" s="1" t="s">
        <v>10</v>
      </c>
      <c r="I380" s="9"/>
      <c r="J380" s="4"/>
    </row>
    <row r="381" spans="1:10">
      <c r="A381" s="13"/>
      <c r="B381" s="46"/>
      <c r="C381" s="1"/>
      <c r="D381" s="5"/>
      <c r="E381" s="5"/>
      <c r="F381" s="5"/>
      <c r="G381" s="4"/>
      <c r="H381" s="1"/>
      <c r="I381" s="9"/>
      <c r="J381" s="4"/>
    </row>
    <row r="382" spans="1:10">
      <c r="A382" s="13"/>
      <c r="B382" s="9"/>
      <c r="C382" s="1"/>
      <c r="D382" s="1"/>
      <c r="E382" s="1"/>
      <c r="F382" s="34" t="s">
        <v>11</v>
      </c>
      <c r="G382" s="53">
        <f>SUM(G370:G381)</f>
        <v>10.7811825</v>
      </c>
      <c r="H382" s="50" t="s">
        <v>12</v>
      </c>
      <c r="I382" s="9"/>
      <c r="J382" s="4"/>
    </row>
    <row r="383" spans="1:10">
      <c r="A383" s="13"/>
      <c r="B383" s="9"/>
      <c r="C383" s="1"/>
      <c r="D383" s="1"/>
      <c r="E383" s="1"/>
      <c r="F383" s="56" t="s">
        <v>13</v>
      </c>
      <c r="G383" s="27">
        <f>ROUNDUP(G382,0)</f>
        <v>11</v>
      </c>
      <c r="H383" s="28" t="s">
        <v>9</v>
      </c>
      <c r="I383" s="9"/>
      <c r="J383" s="4"/>
    </row>
    <row r="384" spans="1:10">
      <c r="A384" s="13"/>
      <c r="B384" s="9"/>
      <c r="C384" s="1"/>
      <c r="D384" s="1"/>
      <c r="E384" s="1"/>
      <c r="F384" s="1"/>
      <c r="G384" s="33"/>
      <c r="H384" s="24"/>
      <c r="I384" s="9"/>
      <c r="J384" s="4"/>
    </row>
    <row r="385" spans="1:10">
      <c r="A385" s="13"/>
      <c r="B385" s="15" t="s">
        <v>445</v>
      </c>
      <c r="C385" s="1"/>
      <c r="D385" s="5"/>
      <c r="E385" s="1"/>
      <c r="F385" s="5"/>
      <c r="G385" s="4"/>
      <c r="H385" s="24"/>
      <c r="I385" s="9"/>
      <c r="J385" s="4"/>
    </row>
    <row r="386" spans="1:10">
      <c r="A386" s="13"/>
      <c r="B386" s="46"/>
      <c r="C386" s="1">
        <f>0.5*25</f>
        <v>12.5</v>
      </c>
      <c r="D386" s="5">
        <v>1.35</v>
      </c>
      <c r="E386" s="5">
        <v>0.3</v>
      </c>
      <c r="F386" s="5">
        <v>0.15</v>
      </c>
      <c r="G386" s="4">
        <f>C386*D386*E386*F386</f>
        <v>0.75937500000000002</v>
      </c>
      <c r="H386" s="1" t="s">
        <v>12</v>
      </c>
      <c r="I386" s="9"/>
      <c r="J386" s="4"/>
    </row>
    <row r="387" spans="1:10">
      <c r="A387" s="13"/>
      <c r="B387" s="46"/>
      <c r="C387" s="1">
        <v>25</v>
      </c>
      <c r="D387" s="5">
        <v>1.35</v>
      </c>
      <c r="E387" s="5">
        <v>0.3</v>
      </c>
      <c r="F387" s="5">
        <v>0.15</v>
      </c>
      <c r="G387" s="4">
        <f>C387*D387*E387*F387</f>
        <v>1.51875</v>
      </c>
      <c r="H387" s="1" t="s">
        <v>10</v>
      </c>
      <c r="I387" s="9"/>
      <c r="J387" s="4"/>
    </row>
    <row r="388" spans="1:10">
      <c r="A388" s="13"/>
      <c r="B388" s="46"/>
      <c r="C388" s="1">
        <v>1</v>
      </c>
      <c r="D388" s="5">
        <v>2.9</v>
      </c>
      <c r="E388" s="5">
        <v>1.41</v>
      </c>
      <c r="F388" s="5">
        <v>0.15</v>
      </c>
      <c r="G388" s="4">
        <f>C388*D388*E388*F388</f>
        <v>0.61334999999999995</v>
      </c>
      <c r="H388" s="1" t="s">
        <v>10</v>
      </c>
      <c r="I388" s="9"/>
      <c r="J388" s="4"/>
    </row>
    <row r="389" spans="1:10">
      <c r="A389" s="13"/>
      <c r="B389" s="9"/>
      <c r="C389" s="1"/>
      <c r="D389" s="1"/>
      <c r="E389" s="1"/>
      <c r="F389" s="1"/>
      <c r="G389" s="33"/>
      <c r="H389" s="24"/>
      <c r="I389" s="9"/>
      <c r="J389" s="4"/>
    </row>
    <row r="390" spans="1:10">
      <c r="A390" s="13"/>
      <c r="B390" s="9"/>
      <c r="C390" s="1"/>
      <c r="D390" s="1"/>
      <c r="E390" s="1"/>
      <c r="F390" s="34" t="s">
        <v>11</v>
      </c>
      <c r="G390" s="53">
        <f>SUM(G386:G389)</f>
        <v>2.8914750000000002</v>
      </c>
      <c r="H390" s="50" t="s">
        <v>12</v>
      </c>
      <c r="I390" s="9"/>
      <c r="J390" s="4"/>
    </row>
    <row r="391" spans="1:10">
      <c r="A391" s="13"/>
      <c r="B391" s="9"/>
      <c r="C391" s="1"/>
      <c r="D391" s="1"/>
      <c r="E391" s="1"/>
      <c r="F391" s="56" t="s">
        <v>13</v>
      </c>
      <c r="G391" s="27">
        <f>ROUNDUP(G390,0)</f>
        <v>3</v>
      </c>
      <c r="H391" s="28" t="s">
        <v>9</v>
      </c>
      <c r="I391" s="9"/>
      <c r="J391" s="4"/>
    </row>
    <row r="392" spans="1:10">
      <c r="A392" s="13"/>
      <c r="B392" s="9"/>
      <c r="C392" s="1"/>
      <c r="D392" s="1"/>
      <c r="E392" s="1"/>
      <c r="F392" s="1"/>
      <c r="G392" s="33"/>
      <c r="H392" s="24"/>
      <c r="I392" s="9"/>
      <c r="J392" s="4"/>
    </row>
    <row r="393" spans="1:10">
      <c r="A393" s="13"/>
      <c r="B393" s="15" t="s">
        <v>57</v>
      </c>
      <c r="C393" s="1"/>
      <c r="D393" s="5"/>
      <c r="E393" s="1"/>
      <c r="F393" s="5"/>
      <c r="G393" s="4"/>
      <c r="H393" s="24"/>
      <c r="I393" s="9"/>
      <c r="J393" s="4"/>
    </row>
    <row r="394" spans="1:10">
      <c r="A394" s="13"/>
      <c r="B394" s="46"/>
      <c r="C394" s="1">
        <f>0.5*25</f>
        <v>12.5</v>
      </c>
      <c r="D394" s="5">
        <v>1.35</v>
      </c>
      <c r="E394" s="5">
        <v>0.3</v>
      </c>
      <c r="F394" s="5">
        <v>0.15</v>
      </c>
      <c r="G394" s="4">
        <f>C394*D394*E394*F394</f>
        <v>0.75937500000000002</v>
      </c>
      <c r="H394" s="1" t="s">
        <v>12</v>
      </c>
      <c r="I394" s="9"/>
      <c r="J394" s="4"/>
    </row>
    <row r="395" spans="1:10">
      <c r="A395" s="13"/>
      <c r="B395" s="46"/>
      <c r="C395" s="1">
        <v>25</v>
      </c>
      <c r="D395" s="5">
        <v>1.35</v>
      </c>
      <c r="E395" s="5">
        <v>0.3</v>
      </c>
      <c r="F395" s="5">
        <v>0.15</v>
      </c>
      <c r="G395" s="4">
        <f>C395*D395*E395*F395</f>
        <v>1.51875</v>
      </c>
      <c r="H395" s="1" t="s">
        <v>10</v>
      </c>
      <c r="I395" s="9"/>
      <c r="J395" s="4"/>
    </row>
    <row r="396" spans="1:10">
      <c r="A396" s="13"/>
      <c r="B396" s="46"/>
      <c r="C396" s="1">
        <v>1</v>
      </c>
      <c r="D396" s="5">
        <v>2.9</v>
      </c>
      <c r="E396" s="5">
        <v>1.41</v>
      </c>
      <c r="F396" s="5">
        <v>0.15</v>
      </c>
      <c r="G396" s="4">
        <f>C396*D396*E396*F396</f>
        <v>0.61334999999999995</v>
      </c>
      <c r="H396" s="1" t="s">
        <v>10</v>
      </c>
      <c r="I396" s="9"/>
      <c r="J396" s="4"/>
    </row>
    <row r="397" spans="1:10">
      <c r="A397" s="13"/>
      <c r="B397" s="9"/>
      <c r="C397" s="1"/>
      <c r="D397" s="1"/>
      <c r="E397" s="1"/>
      <c r="F397" s="1"/>
      <c r="G397" s="33"/>
      <c r="H397" s="24"/>
      <c r="I397" s="9"/>
      <c r="J397" s="4"/>
    </row>
    <row r="398" spans="1:10">
      <c r="A398" s="13"/>
      <c r="B398" s="9"/>
      <c r="C398" s="1"/>
      <c r="D398" s="1"/>
      <c r="E398" s="1"/>
      <c r="F398" s="34" t="s">
        <v>11</v>
      </c>
      <c r="G398" s="53">
        <f>SUM(G394:G397)</f>
        <v>2.8914750000000002</v>
      </c>
      <c r="H398" s="50" t="s">
        <v>12</v>
      </c>
      <c r="I398" s="9"/>
      <c r="J398" s="4"/>
    </row>
    <row r="399" spans="1:10">
      <c r="A399" s="13"/>
      <c r="B399" s="9"/>
      <c r="C399" s="1"/>
      <c r="D399" s="1"/>
      <c r="E399" s="1"/>
      <c r="F399" s="56" t="s">
        <v>13</v>
      </c>
      <c r="G399" s="27">
        <f>ROUNDUP(G398,0)</f>
        <v>3</v>
      </c>
      <c r="H399" s="28" t="s">
        <v>9</v>
      </c>
      <c r="I399" s="9"/>
      <c r="J399" s="4"/>
    </row>
    <row r="400" spans="1:10">
      <c r="A400" s="13"/>
      <c r="B400" s="9"/>
      <c r="C400" s="1"/>
      <c r="D400" s="1"/>
      <c r="E400" s="1"/>
      <c r="F400" s="1"/>
      <c r="G400" s="33"/>
      <c r="H400" s="24"/>
      <c r="I400" s="9"/>
      <c r="J400" s="4"/>
    </row>
    <row r="401" spans="1:11">
      <c r="A401" s="18">
        <f>A368+1</f>
        <v>14</v>
      </c>
      <c r="B401" s="9" t="s">
        <v>81</v>
      </c>
      <c r="J401" s="31"/>
      <c r="K401" s="31"/>
    </row>
    <row r="402" spans="1:11">
      <c r="A402" s="13"/>
      <c r="B402" s="15" t="s">
        <v>56</v>
      </c>
      <c r="C402" s="1"/>
      <c r="D402" s="5"/>
      <c r="E402" s="1"/>
      <c r="F402" s="5"/>
      <c r="G402" s="4"/>
      <c r="H402" s="1"/>
      <c r="J402" s="31"/>
      <c r="K402" s="31"/>
    </row>
    <row r="403" spans="1:11">
      <c r="A403" s="13"/>
      <c r="B403" s="46"/>
      <c r="C403" s="1">
        <v>1</v>
      </c>
      <c r="D403" s="5">
        <v>895</v>
      </c>
      <c r="E403" s="5" t="s">
        <v>47</v>
      </c>
      <c r="F403" s="5">
        <v>0.15</v>
      </c>
      <c r="G403" s="4">
        <f>C403*D403*F403</f>
        <v>134.25</v>
      </c>
      <c r="H403" s="1" t="s">
        <v>12</v>
      </c>
      <c r="J403" s="31"/>
      <c r="K403" s="31"/>
    </row>
    <row r="404" spans="1:11">
      <c r="A404" s="13"/>
      <c r="B404" s="46"/>
      <c r="C404" s="1">
        <v>2</v>
      </c>
      <c r="D404" s="5">
        <v>5.5</v>
      </c>
      <c r="E404" s="5">
        <v>1.02</v>
      </c>
      <c r="F404" s="5">
        <v>0.15</v>
      </c>
      <c r="G404" s="4">
        <f>C404*D404*E404*F404</f>
        <v>1.6830000000000001</v>
      </c>
      <c r="H404" s="1" t="s">
        <v>10</v>
      </c>
      <c r="J404" s="31"/>
      <c r="K404" s="31"/>
    </row>
    <row r="405" spans="1:11">
      <c r="A405" s="13"/>
      <c r="B405" s="46"/>
      <c r="C405" s="1">
        <v>1</v>
      </c>
      <c r="D405" s="5">
        <v>17.010000000000002</v>
      </c>
      <c r="E405" s="5">
        <v>1.3</v>
      </c>
      <c r="F405" s="5">
        <v>0.15</v>
      </c>
      <c r="G405" s="4">
        <f>C405*D405*E405*F405</f>
        <v>3.3169500000000003</v>
      </c>
      <c r="H405" s="1" t="s">
        <v>10</v>
      </c>
      <c r="J405" s="31"/>
      <c r="K405" s="31"/>
    </row>
    <row r="406" spans="1:11">
      <c r="A406" s="13"/>
      <c r="B406" s="46" t="s">
        <v>82</v>
      </c>
      <c r="C406" s="1">
        <v>1</v>
      </c>
      <c r="D406" s="5">
        <v>25.77</v>
      </c>
      <c r="E406" s="5">
        <v>9.77</v>
      </c>
      <c r="F406" s="5">
        <v>0.15</v>
      </c>
      <c r="G406" s="4">
        <f>-C406*D406*E406*F406</f>
        <v>-37.765934999999999</v>
      </c>
      <c r="H406" s="1" t="s">
        <v>10</v>
      </c>
      <c r="I406" s="31">
        <f>C406*D406*E406</f>
        <v>251.77289999999999</v>
      </c>
      <c r="J406" s="80">
        <f>D403-I406</f>
        <v>643.22710000000006</v>
      </c>
      <c r="K406" s="31"/>
    </row>
    <row r="407" spans="1:11">
      <c r="A407" s="13"/>
      <c r="B407" s="46"/>
      <c r="C407" s="1">
        <v>1</v>
      </c>
      <c r="D407" s="5">
        <v>4.7699999999999996</v>
      </c>
      <c r="E407" s="5">
        <v>4.7699999999999996</v>
      </c>
      <c r="F407" s="5">
        <v>0.15</v>
      </c>
      <c r="G407" s="4">
        <f>-C407*D407*E407*F407</f>
        <v>-3.4129349999999996</v>
      </c>
      <c r="H407" s="1" t="s">
        <v>10</v>
      </c>
      <c r="J407" s="31"/>
      <c r="K407" s="31"/>
    </row>
    <row r="408" spans="1:11">
      <c r="A408" s="13"/>
      <c r="B408" s="46" t="s">
        <v>554</v>
      </c>
      <c r="C408" s="1">
        <v>1</v>
      </c>
      <c r="D408" s="5">
        <v>25.77</v>
      </c>
      <c r="E408" s="5">
        <v>5.09</v>
      </c>
      <c r="F408" s="5">
        <v>0.2</v>
      </c>
      <c r="G408" s="4">
        <f>C408*D408*E408*F408</f>
        <v>26.23386</v>
      </c>
      <c r="H408" s="1" t="s">
        <v>10</v>
      </c>
      <c r="J408" s="31"/>
      <c r="K408" s="31"/>
    </row>
    <row r="409" spans="1:11">
      <c r="A409" s="13"/>
      <c r="B409" s="46"/>
      <c r="C409" s="1">
        <v>1</v>
      </c>
      <c r="D409" s="5">
        <v>0.9</v>
      </c>
      <c r="E409" s="5">
        <v>1.2</v>
      </c>
      <c r="F409" s="5">
        <v>0.2</v>
      </c>
      <c r="G409" s="4">
        <f t="shared" ref="G409:G414" si="20">C409*D409*E409*F409</f>
        <v>0.21600000000000003</v>
      </c>
      <c r="H409" s="1" t="s">
        <v>10</v>
      </c>
      <c r="J409" s="31"/>
      <c r="K409" s="31"/>
    </row>
    <row r="410" spans="1:11">
      <c r="A410" s="13"/>
      <c r="B410" s="46"/>
      <c r="C410" s="1">
        <v>5</v>
      </c>
      <c r="D410" s="5">
        <v>1.3</v>
      </c>
      <c r="E410" s="5">
        <v>1.2</v>
      </c>
      <c r="F410" s="5">
        <v>0.2</v>
      </c>
      <c r="G410" s="4">
        <f t="shared" si="20"/>
        <v>1.56</v>
      </c>
      <c r="H410" s="1" t="s">
        <v>10</v>
      </c>
      <c r="J410" s="31"/>
      <c r="K410" s="31"/>
    </row>
    <row r="411" spans="1:11">
      <c r="A411" s="13"/>
      <c r="B411" s="46"/>
      <c r="C411" s="1">
        <v>1</v>
      </c>
      <c r="D411" s="5">
        <v>1.72</v>
      </c>
      <c r="E411" s="5">
        <v>1.2</v>
      </c>
      <c r="F411" s="5">
        <v>0.2</v>
      </c>
      <c r="G411" s="4">
        <f t="shared" si="20"/>
        <v>0.41280000000000006</v>
      </c>
      <c r="H411" s="1" t="s">
        <v>10</v>
      </c>
      <c r="J411" s="31"/>
      <c r="K411" s="31"/>
    </row>
    <row r="412" spans="1:11">
      <c r="A412" s="13"/>
      <c r="B412" s="46"/>
      <c r="C412" s="1">
        <v>1</v>
      </c>
      <c r="D412" s="5">
        <v>2.5750000000000002</v>
      </c>
      <c r="E412" s="5">
        <v>4.7699999999999996</v>
      </c>
      <c r="F412" s="5">
        <v>0.2</v>
      </c>
      <c r="G412" s="4">
        <f t="shared" si="20"/>
        <v>2.45655</v>
      </c>
      <c r="H412" s="1" t="s">
        <v>10</v>
      </c>
      <c r="J412" s="31"/>
      <c r="K412" s="31"/>
    </row>
    <row r="413" spans="1:11">
      <c r="A413" s="13"/>
      <c r="B413" s="46"/>
      <c r="C413" s="1">
        <v>1</v>
      </c>
      <c r="D413" s="5">
        <v>2.77</v>
      </c>
      <c r="E413" s="5">
        <v>2.5750000000000002</v>
      </c>
      <c r="F413" s="5">
        <v>0.2</v>
      </c>
      <c r="G413" s="4">
        <f t="shared" si="20"/>
        <v>1.4265500000000002</v>
      </c>
      <c r="H413" s="1" t="s">
        <v>10</v>
      </c>
      <c r="J413" s="31"/>
      <c r="K413" s="31"/>
    </row>
    <row r="414" spans="1:11">
      <c r="A414" s="13"/>
      <c r="B414" s="46"/>
      <c r="C414" s="1">
        <v>1</v>
      </c>
      <c r="D414" s="5">
        <v>3.2349999999999999</v>
      </c>
      <c r="E414" s="5">
        <v>4.2699999999999996</v>
      </c>
      <c r="F414" s="5">
        <v>0.2</v>
      </c>
      <c r="G414" s="4">
        <f t="shared" si="20"/>
        <v>2.7626899999999996</v>
      </c>
      <c r="H414" s="1" t="s">
        <v>10</v>
      </c>
      <c r="J414" s="31"/>
      <c r="K414" s="31"/>
    </row>
    <row r="415" spans="1:11">
      <c r="A415" s="13"/>
      <c r="B415" s="9"/>
      <c r="C415" s="1"/>
      <c r="D415" s="5"/>
      <c r="E415" s="1"/>
      <c r="F415" s="1"/>
      <c r="G415" s="4"/>
      <c r="J415" s="31"/>
      <c r="K415" s="31"/>
    </row>
    <row r="416" spans="1:11">
      <c r="A416" s="13"/>
      <c r="B416" s="9"/>
      <c r="C416" s="1"/>
      <c r="D416" s="1"/>
      <c r="E416" s="1"/>
      <c r="F416" s="34" t="s">
        <v>11</v>
      </c>
      <c r="G416" s="53">
        <f>SUM(G403:G415)</f>
        <v>133.13952999999998</v>
      </c>
      <c r="H416" s="50" t="s">
        <v>12</v>
      </c>
      <c r="J416" s="31"/>
      <c r="K416" s="31"/>
    </row>
    <row r="417" spans="1:11">
      <c r="A417" s="13"/>
      <c r="B417" s="6"/>
      <c r="C417" s="1"/>
      <c r="D417" s="1"/>
      <c r="E417" s="1"/>
      <c r="F417" s="56" t="s">
        <v>13</v>
      </c>
      <c r="G417" s="27">
        <f>ROUNDUP(G416,0)</f>
        <v>134</v>
      </c>
      <c r="H417" s="28" t="s">
        <v>9</v>
      </c>
      <c r="J417" s="31"/>
      <c r="K417" s="31"/>
    </row>
    <row r="418" spans="1:11">
      <c r="A418" s="13"/>
      <c r="B418" s="6"/>
      <c r="C418" s="1"/>
      <c r="D418" s="1"/>
      <c r="E418" s="1"/>
      <c r="F418" s="1"/>
      <c r="G418" s="33"/>
      <c r="H418" s="24"/>
      <c r="J418" s="31"/>
      <c r="K418" s="31"/>
    </row>
    <row r="419" spans="1:11">
      <c r="A419" s="13"/>
      <c r="B419" s="15" t="s">
        <v>445</v>
      </c>
      <c r="C419" s="1"/>
      <c r="D419" s="5"/>
      <c r="E419" s="1"/>
      <c r="F419" s="5"/>
      <c r="G419" s="4"/>
      <c r="H419" s="1"/>
      <c r="J419" s="31"/>
      <c r="K419" s="31"/>
    </row>
    <row r="420" spans="1:11">
      <c r="A420" s="13"/>
      <c r="B420" s="46"/>
      <c r="C420" s="1">
        <v>1</v>
      </c>
      <c r="D420" s="5">
        <v>583</v>
      </c>
      <c r="E420" s="5" t="s">
        <v>47</v>
      </c>
      <c r="F420" s="5">
        <v>0.15</v>
      </c>
      <c r="G420" s="4">
        <f>C420*D420*F420</f>
        <v>87.45</v>
      </c>
      <c r="H420" s="1" t="s">
        <v>12</v>
      </c>
      <c r="J420" s="31"/>
      <c r="K420" s="31"/>
    </row>
    <row r="421" spans="1:11">
      <c r="A421" s="13"/>
      <c r="B421" s="46" t="s">
        <v>552</v>
      </c>
      <c r="C421" s="1">
        <v>1</v>
      </c>
      <c r="D421" s="5">
        <v>269.10000000000002</v>
      </c>
      <c r="E421" s="5" t="s">
        <v>47</v>
      </c>
      <c r="F421" s="5">
        <v>0.15</v>
      </c>
      <c r="G421" s="4">
        <f>C421*D421*F421</f>
        <v>40.365000000000002</v>
      </c>
      <c r="H421" s="1" t="s">
        <v>10</v>
      </c>
      <c r="J421" s="31"/>
      <c r="K421" s="31"/>
    </row>
    <row r="422" spans="1:11">
      <c r="A422" s="13"/>
      <c r="B422" s="46"/>
      <c r="C422" s="1">
        <v>1</v>
      </c>
      <c r="D422" s="5">
        <v>5.23</v>
      </c>
      <c r="E422" s="5">
        <v>5.23</v>
      </c>
      <c r="F422" s="5">
        <v>0.15</v>
      </c>
      <c r="G422" s="4">
        <f>C422*D422*E422*F422</f>
        <v>4.1029350000000004</v>
      </c>
      <c r="H422" s="1" t="s">
        <v>10</v>
      </c>
      <c r="J422" s="31"/>
      <c r="K422" s="31"/>
    </row>
    <row r="423" spans="1:11">
      <c r="A423" s="13"/>
      <c r="B423" s="9"/>
      <c r="C423" s="1"/>
      <c r="D423" s="5"/>
      <c r="E423" s="1"/>
      <c r="F423" s="1"/>
      <c r="G423" s="4"/>
      <c r="J423" s="31"/>
      <c r="K423" s="31"/>
    </row>
    <row r="424" spans="1:11">
      <c r="A424" s="13"/>
      <c r="B424" s="9"/>
      <c r="C424" s="1"/>
      <c r="D424" s="1"/>
      <c r="E424" s="1"/>
      <c r="F424" s="34" t="s">
        <v>11</v>
      </c>
      <c r="G424" s="53">
        <f>SUM(G420:G423)</f>
        <v>131.917935</v>
      </c>
      <c r="H424" s="50" t="s">
        <v>12</v>
      </c>
      <c r="J424" s="31"/>
      <c r="K424" s="31"/>
    </row>
    <row r="425" spans="1:11">
      <c r="A425" s="13"/>
      <c r="B425" s="6"/>
      <c r="C425" s="1"/>
      <c r="D425" s="1"/>
      <c r="E425" s="1"/>
      <c r="F425" s="56" t="s">
        <v>13</v>
      </c>
      <c r="G425" s="27">
        <f>ROUNDUP(G424,0)</f>
        <v>132</v>
      </c>
      <c r="H425" s="28" t="s">
        <v>9</v>
      </c>
      <c r="J425" s="31"/>
      <c r="K425" s="31"/>
    </row>
    <row r="426" spans="1:11">
      <c r="A426" s="13"/>
      <c r="B426" s="6"/>
      <c r="C426" s="1"/>
      <c r="D426" s="1"/>
      <c r="E426" s="1"/>
      <c r="F426" s="1"/>
      <c r="G426" s="33"/>
      <c r="H426" s="24"/>
      <c r="J426" s="31"/>
      <c r="K426" s="31"/>
    </row>
    <row r="427" spans="1:11">
      <c r="A427" s="13"/>
      <c r="B427" s="15" t="s">
        <v>57</v>
      </c>
      <c r="C427" s="1"/>
      <c r="D427" s="5"/>
      <c r="E427" s="1"/>
      <c r="F427" s="5"/>
      <c r="G427" s="4"/>
      <c r="H427" s="1"/>
      <c r="J427" s="31"/>
      <c r="K427" s="31"/>
    </row>
    <row r="428" spans="1:11">
      <c r="A428" s="13"/>
      <c r="B428" s="46"/>
      <c r="C428" s="1">
        <v>1</v>
      </c>
      <c r="D428" s="5">
        <v>280</v>
      </c>
      <c r="E428" s="5" t="s">
        <v>47</v>
      </c>
      <c r="F428" s="5">
        <v>0.15</v>
      </c>
      <c r="G428" s="4">
        <f>C428*D428*F428</f>
        <v>42</v>
      </c>
      <c r="H428" s="1" t="s">
        <v>12</v>
      </c>
      <c r="J428" s="31"/>
      <c r="K428" s="31"/>
    </row>
    <row r="429" spans="1:11">
      <c r="A429" s="13"/>
      <c r="B429" s="46" t="s">
        <v>82</v>
      </c>
      <c r="C429" s="1">
        <v>1</v>
      </c>
      <c r="D429" s="5">
        <v>19.5</v>
      </c>
      <c r="E429" s="5">
        <v>3.3</v>
      </c>
      <c r="F429" s="5">
        <v>0.15</v>
      </c>
      <c r="G429" s="4">
        <f>-C429*D429*E429*F429</f>
        <v>-9.6524999999999981</v>
      </c>
      <c r="H429" s="1" t="s">
        <v>10</v>
      </c>
      <c r="J429" s="31"/>
      <c r="K429" s="31"/>
    </row>
    <row r="430" spans="1:11">
      <c r="A430" s="13"/>
      <c r="B430" s="46"/>
      <c r="C430" s="1"/>
      <c r="D430" s="5"/>
      <c r="E430" s="5"/>
      <c r="F430" s="5"/>
      <c r="G430" s="4"/>
      <c r="H430" s="1"/>
      <c r="J430" s="31"/>
      <c r="K430" s="31"/>
    </row>
    <row r="431" spans="1:11">
      <c r="A431" s="13"/>
      <c r="B431" s="46"/>
      <c r="C431" s="1"/>
      <c r="D431" s="5"/>
      <c r="E431" s="5"/>
      <c r="F431" s="34" t="s">
        <v>11</v>
      </c>
      <c r="G431" s="53">
        <f>SUM(G428:G430)</f>
        <v>32.347500000000004</v>
      </c>
      <c r="H431" s="50" t="s">
        <v>12</v>
      </c>
      <c r="J431" s="31"/>
      <c r="K431" s="31"/>
    </row>
    <row r="432" spans="1:11">
      <c r="A432" s="13"/>
      <c r="B432" s="6"/>
      <c r="C432" s="1"/>
      <c r="D432" s="1"/>
      <c r="E432" s="1"/>
      <c r="F432" s="56" t="s">
        <v>13</v>
      </c>
      <c r="G432" s="27">
        <f>ROUNDUP(G431,0)</f>
        <v>33</v>
      </c>
      <c r="H432" s="28" t="s">
        <v>9</v>
      </c>
      <c r="J432" s="31"/>
      <c r="K432" s="31"/>
    </row>
    <row r="433" spans="1:17">
      <c r="A433" s="13"/>
      <c r="B433" s="6"/>
      <c r="C433" s="1"/>
      <c r="D433" s="1"/>
      <c r="E433" s="1"/>
      <c r="F433" s="1"/>
      <c r="G433" s="33"/>
      <c r="H433" s="24"/>
      <c r="J433" s="31"/>
      <c r="K433" s="31"/>
    </row>
    <row r="434" spans="1:17">
      <c r="A434" s="13"/>
      <c r="B434" s="15" t="s">
        <v>463</v>
      </c>
      <c r="C434" s="1"/>
      <c r="D434" s="5"/>
      <c r="E434" s="1"/>
      <c r="F434" s="5"/>
      <c r="G434" s="4"/>
      <c r="H434" s="1"/>
      <c r="J434" s="31"/>
      <c r="K434" s="31"/>
    </row>
    <row r="435" spans="1:17">
      <c r="A435" s="13"/>
      <c r="B435" s="46" t="s">
        <v>449</v>
      </c>
      <c r="C435" s="1">
        <v>1</v>
      </c>
      <c r="D435" s="5">
        <v>10.23</v>
      </c>
      <c r="E435" s="5">
        <v>5.38</v>
      </c>
      <c r="F435" s="5">
        <v>0.15</v>
      </c>
      <c r="G435" s="4">
        <f>C435*D435*E435*F435</f>
        <v>8.255609999999999</v>
      </c>
      <c r="H435" s="1" t="s">
        <v>12</v>
      </c>
      <c r="J435" s="31"/>
      <c r="K435" s="31"/>
    </row>
    <row r="436" spans="1:17">
      <c r="A436" s="13"/>
      <c r="B436" s="46" t="s">
        <v>598</v>
      </c>
      <c r="C436" s="1">
        <v>1</v>
      </c>
      <c r="D436" s="5">
        <v>5.38</v>
      </c>
      <c r="E436" s="5">
        <v>5.3</v>
      </c>
      <c r="F436" s="5">
        <v>0.15</v>
      </c>
      <c r="G436" s="4">
        <f>C436*D436*E436*F436</f>
        <v>4.2770999999999999</v>
      </c>
      <c r="H436" s="1" t="s">
        <v>10</v>
      </c>
      <c r="J436" s="31"/>
      <c r="K436" s="31"/>
    </row>
    <row r="437" spans="1:17">
      <c r="A437" s="13"/>
      <c r="B437" s="46" t="s">
        <v>462</v>
      </c>
      <c r="C437" s="1">
        <v>1</v>
      </c>
      <c r="D437" s="5">
        <v>6.5</v>
      </c>
      <c r="E437" s="5">
        <v>3.36</v>
      </c>
      <c r="F437" s="5">
        <v>0.15</v>
      </c>
      <c r="G437" s="4">
        <f>C437*D437*E437*F437</f>
        <v>3.2759999999999998</v>
      </c>
      <c r="H437" s="1" t="s">
        <v>10</v>
      </c>
      <c r="J437" s="31"/>
      <c r="K437" s="31"/>
    </row>
    <row r="438" spans="1:17">
      <c r="A438" s="13"/>
      <c r="B438" s="46"/>
      <c r="C438" s="1"/>
      <c r="D438" s="5"/>
      <c r="E438" s="5"/>
      <c r="F438" s="5"/>
      <c r="G438" s="4"/>
      <c r="H438" s="1"/>
      <c r="J438" s="31"/>
      <c r="K438" s="31"/>
    </row>
    <row r="439" spans="1:17">
      <c r="A439" s="13"/>
      <c r="B439" s="46"/>
      <c r="C439" s="1"/>
      <c r="D439" s="5"/>
      <c r="E439" s="5"/>
      <c r="F439" s="34" t="s">
        <v>11</v>
      </c>
      <c r="G439" s="53">
        <f>SUM(G435:G438)</f>
        <v>15.808709999999998</v>
      </c>
      <c r="H439" s="50" t="s">
        <v>12</v>
      </c>
      <c r="J439" s="31"/>
      <c r="K439" s="31"/>
    </row>
    <row r="440" spans="1:17">
      <c r="A440" s="13"/>
      <c r="B440" s="6"/>
      <c r="C440" s="1"/>
      <c r="D440" s="1"/>
      <c r="E440" s="1"/>
      <c r="F440" s="56" t="s">
        <v>13</v>
      </c>
      <c r="G440" s="27">
        <f>ROUNDUP(G439,0)</f>
        <v>16</v>
      </c>
      <c r="H440" s="28" t="s">
        <v>9</v>
      </c>
      <c r="J440" s="31"/>
      <c r="K440" s="31"/>
    </row>
    <row r="441" spans="1:17">
      <c r="A441" s="18">
        <f>A401+1</f>
        <v>15</v>
      </c>
      <c r="B441" s="9" t="s">
        <v>85</v>
      </c>
      <c r="J441" s="31"/>
      <c r="K441" s="31"/>
    </row>
    <row r="442" spans="1:17">
      <c r="A442" s="13"/>
      <c r="B442" s="15" t="s">
        <v>56</v>
      </c>
      <c r="C442" s="1"/>
      <c r="D442" s="5"/>
      <c r="E442" s="1"/>
      <c r="F442" s="5"/>
      <c r="G442" s="4"/>
      <c r="H442" s="1"/>
      <c r="J442" s="31"/>
      <c r="K442" s="31"/>
    </row>
    <row r="443" spans="1:17">
      <c r="A443" s="13"/>
      <c r="B443" s="46" t="s">
        <v>553</v>
      </c>
      <c r="C443" s="1">
        <v>2</v>
      </c>
      <c r="D443" s="5">
        <v>28.73</v>
      </c>
      <c r="E443" s="5">
        <v>0.23</v>
      </c>
      <c r="F443" s="5">
        <v>1.5</v>
      </c>
      <c r="G443" s="4">
        <f>C443*D443*E443*F443</f>
        <v>19.823700000000002</v>
      </c>
      <c r="H443" s="1" t="s">
        <v>12</v>
      </c>
      <c r="J443" s="31"/>
      <c r="K443" s="31"/>
    </row>
    <row r="444" spans="1:17">
      <c r="A444" s="13"/>
      <c r="B444" s="46"/>
      <c r="C444" s="1">
        <v>1</v>
      </c>
      <c r="D444" s="5">
        <f>3.235+4.27+4.27</f>
        <v>11.774999999999999</v>
      </c>
      <c r="E444" s="5">
        <v>0.23</v>
      </c>
      <c r="F444" s="5">
        <v>1.5</v>
      </c>
      <c r="G444" s="4">
        <f>C444*D444*E444*F444</f>
        <v>4.0623749999999994</v>
      </c>
      <c r="H444" s="1" t="s">
        <v>10</v>
      </c>
      <c r="J444" s="31"/>
      <c r="K444" s="31"/>
    </row>
    <row r="445" spans="1:17">
      <c r="A445" s="13"/>
      <c r="B445" s="46"/>
      <c r="C445" s="1">
        <v>1</v>
      </c>
      <c r="D445" s="5">
        <f>2.77+2.575+2.575</f>
        <v>7.9200000000000008</v>
      </c>
      <c r="E445" s="5">
        <v>0.23</v>
      </c>
      <c r="F445" s="5">
        <v>1.5</v>
      </c>
      <c r="G445" s="4">
        <f>C445*D445*E445*F445</f>
        <v>2.7324000000000006</v>
      </c>
      <c r="H445" s="1" t="s">
        <v>10</v>
      </c>
      <c r="I445" s="9"/>
      <c r="J445" s="31"/>
      <c r="K445" s="31"/>
    </row>
    <row r="446" spans="1:17">
      <c r="A446" s="13"/>
      <c r="B446" s="46"/>
      <c r="C446" s="1">
        <v>2</v>
      </c>
      <c r="D446" s="5">
        <v>5.0750000000000002</v>
      </c>
      <c r="E446" s="5">
        <v>0.23</v>
      </c>
      <c r="F446" s="5">
        <v>1.5</v>
      </c>
      <c r="G446" s="4">
        <f>C446*D446*E446*F446</f>
        <v>3.5017500000000004</v>
      </c>
      <c r="H446" s="1" t="s">
        <v>10</v>
      </c>
      <c r="I446" s="9"/>
      <c r="J446" s="31"/>
      <c r="K446" s="31"/>
    </row>
    <row r="447" spans="1:17">
      <c r="A447" s="13"/>
      <c r="B447" s="9"/>
      <c r="C447" s="1"/>
      <c r="D447" s="5"/>
      <c r="E447" s="1"/>
      <c r="F447" s="1"/>
      <c r="G447" s="4"/>
      <c r="I447" s="9"/>
      <c r="J447" s="31"/>
      <c r="K447" s="31"/>
    </row>
    <row r="448" spans="1:17">
      <c r="A448" s="13"/>
      <c r="B448" s="9"/>
      <c r="C448" s="1"/>
      <c r="D448" s="1"/>
      <c r="E448" s="1"/>
      <c r="F448" s="34" t="s">
        <v>11</v>
      </c>
      <c r="G448" s="53">
        <f>SUM(G443:G447)</f>
        <v>30.120225000000005</v>
      </c>
      <c r="H448" s="50" t="s">
        <v>12</v>
      </c>
      <c r="I448" s="9"/>
      <c r="J448" s="18"/>
      <c r="Q448" s="24"/>
    </row>
    <row r="449" spans="1:17">
      <c r="A449" s="13"/>
      <c r="B449" s="6"/>
      <c r="C449" s="1"/>
      <c r="D449" s="1"/>
      <c r="E449" s="1"/>
      <c r="F449" s="56" t="s">
        <v>13</v>
      </c>
      <c r="G449" s="27">
        <f>ROUNDUP(G448,0)</f>
        <v>31</v>
      </c>
      <c r="H449" s="28" t="s">
        <v>9</v>
      </c>
      <c r="I449" s="9"/>
      <c r="J449" s="18"/>
      <c r="Q449" s="24"/>
    </row>
    <row r="450" spans="1:17">
      <c r="A450" s="13"/>
      <c r="B450" s="6"/>
      <c r="C450" s="1"/>
      <c r="D450" s="1"/>
      <c r="E450" s="1"/>
      <c r="F450" s="1"/>
      <c r="G450" s="33"/>
      <c r="H450" s="24"/>
      <c r="I450" s="9"/>
      <c r="J450" s="18"/>
      <c r="Q450" s="24"/>
    </row>
    <row r="451" spans="1:17">
      <c r="A451" s="13"/>
      <c r="B451" s="15" t="s">
        <v>463</v>
      </c>
      <c r="C451" s="1"/>
      <c r="D451" s="5"/>
      <c r="E451" s="1"/>
      <c r="F451" s="5"/>
      <c r="G451" s="4"/>
      <c r="H451" s="1"/>
      <c r="I451" s="9"/>
      <c r="J451" s="18"/>
      <c r="Q451" s="24"/>
    </row>
    <row r="452" spans="1:17">
      <c r="A452" s="13"/>
      <c r="B452" s="46" t="s">
        <v>598</v>
      </c>
      <c r="C452" s="1">
        <v>3</v>
      </c>
      <c r="D452" s="5">
        <v>5.27</v>
      </c>
      <c r="E452" s="5">
        <v>0.2</v>
      </c>
      <c r="F452" s="5">
        <v>2.4500000000000002</v>
      </c>
      <c r="G452" s="4">
        <f>C452*D452*E452*F452</f>
        <v>7.7469000000000001</v>
      </c>
      <c r="H452" s="1" t="s">
        <v>12</v>
      </c>
      <c r="I452" s="9"/>
      <c r="J452" s="18"/>
      <c r="Q452" s="24"/>
    </row>
    <row r="453" spans="1:17">
      <c r="A453" s="13"/>
      <c r="B453" s="46"/>
      <c r="C453" s="1">
        <v>2</v>
      </c>
      <c r="D453" s="5">
        <v>5.38</v>
      </c>
      <c r="E453" s="5">
        <v>0.2</v>
      </c>
      <c r="F453" s="5">
        <v>2.4500000000000002</v>
      </c>
      <c r="G453" s="4">
        <f>C453*D453*E453*F453</f>
        <v>5.2724000000000011</v>
      </c>
      <c r="H453" s="1" t="s">
        <v>10</v>
      </c>
      <c r="I453" s="9"/>
      <c r="J453" s="18"/>
      <c r="Q453" s="24"/>
    </row>
    <row r="454" spans="1:17">
      <c r="A454" s="13"/>
      <c r="B454" s="6"/>
      <c r="C454" s="1"/>
      <c r="D454" s="1"/>
      <c r="E454" s="1"/>
      <c r="F454" s="1"/>
      <c r="G454" s="33"/>
      <c r="H454" s="24"/>
      <c r="I454" s="9"/>
      <c r="J454" s="18"/>
      <c r="Q454" s="24"/>
    </row>
    <row r="455" spans="1:17">
      <c r="A455" s="13"/>
      <c r="B455" s="6"/>
      <c r="C455" s="1"/>
      <c r="D455" s="1"/>
      <c r="E455" s="1"/>
      <c r="F455" s="34" t="s">
        <v>11</v>
      </c>
      <c r="G455" s="53">
        <f>SUM(G452:G454)</f>
        <v>13.019300000000001</v>
      </c>
      <c r="H455" s="50" t="s">
        <v>12</v>
      </c>
      <c r="I455" s="9"/>
      <c r="J455" s="18"/>
      <c r="Q455" s="24"/>
    </row>
    <row r="456" spans="1:17">
      <c r="A456" s="13"/>
      <c r="B456" s="6"/>
      <c r="C456" s="1"/>
      <c r="D456" s="1"/>
      <c r="E456" s="1"/>
      <c r="F456" s="56" t="s">
        <v>13</v>
      </c>
      <c r="G456" s="27">
        <f>ROUNDUP(G455,0)</f>
        <v>14</v>
      </c>
      <c r="H456" s="28" t="s">
        <v>9</v>
      </c>
      <c r="I456" s="9"/>
      <c r="J456" s="18"/>
      <c r="Q456" s="24"/>
    </row>
    <row r="457" spans="1:17">
      <c r="A457" s="13"/>
      <c r="B457" s="6"/>
      <c r="C457" s="1"/>
      <c r="D457" s="1"/>
      <c r="E457" s="1"/>
      <c r="F457" s="1"/>
      <c r="G457" s="33"/>
      <c r="H457" s="24"/>
      <c r="I457" s="9"/>
      <c r="J457" s="18"/>
      <c r="Q457" s="24"/>
    </row>
    <row r="458" spans="1:17">
      <c r="A458" s="18">
        <f>A441+1</f>
        <v>16</v>
      </c>
      <c r="B458" s="9" t="s">
        <v>83</v>
      </c>
      <c r="I458" s="9"/>
      <c r="J458" s="18"/>
      <c r="Q458" s="24"/>
    </row>
    <row r="459" spans="1:17">
      <c r="A459" s="13"/>
      <c r="B459" s="15" t="s">
        <v>56</v>
      </c>
      <c r="C459" s="1"/>
      <c r="D459" s="5"/>
      <c r="E459" s="1"/>
      <c r="F459" s="5"/>
      <c r="G459" s="4"/>
      <c r="H459" s="1"/>
      <c r="I459" s="9"/>
      <c r="J459" s="18"/>
      <c r="Q459" s="24"/>
    </row>
    <row r="460" spans="1:17">
      <c r="A460" s="13"/>
      <c r="B460" s="46"/>
      <c r="C460" s="1">
        <v>1</v>
      </c>
      <c r="D460" s="5">
        <v>9.82</v>
      </c>
      <c r="E460" s="5">
        <v>0.6</v>
      </c>
      <c r="F460" s="5">
        <v>0.1</v>
      </c>
      <c r="G460" s="4">
        <f>C460*D460*E460*F460</f>
        <v>0.58920000000000006</v>
      </c>
      <c r="H460" s="1" t="s">
        <v>12</v>
      </c>
      <c r="I460" s="9"/>
      <c r="J460" s="18"/>
      <c r="Q460" s="24"/>
    </row>
    <row r="461" spans="1:17">
      <c r="A461" s="13"/>
      <c r="B461" s="46"/>
      <c r="C461" s="1">
        <v>1</v>
      </c>
      <c r="D461" s="5">
        <f>1.5+4.82</f>
        <v>6.32</v>
      </c>
      <c r="E461" s="5">
        <v>0.6</v>
      </c>
      <c r="F461" s="5">
        <v>0.1</v>
      </c>
      <c r="G461" s="4">
        <f t="shared" ref="G461:G467" si="21">C461*D461*E461*F461</f>
        <v>0.37919999999999998</v>
      </c>
      <c r="H461" s="1" t="s">
        <v>10</v>
      </c>
      <c r="I461" s="9"/>
      <c r="J461" s="18"/>
      <c r="Q461" s="24"/>
    </row>
    <row r="462" spans="1:17">
      <c r="A462" s="13"/>
      <c r="B462" s="46"/>
      <c r="C462" s="1">
        <v>2</v>
      </c>
      <c r="D462" s="5">
        <v>2.4</v>
      </c>
      <c r="E462" s="5">
        <v>0.6</v>
      </c>
      <c r="F462" s="5">
        <v>0.1</v>
      </c>
      <c r="G462" s="4">
        <f t="shared" si="21"/>
        <v>0.28799999999999998</v>
      </c>
      <c r="H462" s="1" t="s">
        <v>10</v>
      </c>
      <c r="I462" s="9"/>
      <c r="J462" s="18"/>
      <c r="Q462" s="24"/>
    </row>
    <row r="463" spans="1:17">
      <c r="A463" s="13"/>
      <c r="B463" s="46"/>
      <c r="C463" s="1">
        <v>1</v>
      </c>
      <c r="D463" s="5">
        <v>5.3</v>
      </c>
      <c r="E463" s="5">
        <v>0.6</v>
      </c>
      <c r="F463" s="5">
        <v>0.1</v>
      </c>
      <c r="G463" s="4">
        <f t="shared" si="21"/>
        <v>0.318</v>
      </c>
      <c r="H463" s="1" t="s">
        <v>10</v>
      </c>
      <c r="I463" s="9"/>
      <c r="J463" s="18"/>
      <c r="Q463" s="24"/>
    </row>
    <row r="464" spans="1:17">
      <c r="A464" s="13"/>
      <c r="B464" s="46"/>
      <c r="C464" s="1">
        <v>1</v>
      </c>
      <c r="D464" s="5">
        <v>5.38</v>
      </c>
      <c r="E464" s="5">
        <v>0.6</v>
      </c>
      <c r="F464" s="5">
        <v>0.1</v>
      </c>
      <c r="G464" s="4">
        <f t="shared" si="21"/>
        <v>0.32279999999999998</v>
      </c>
      <c r="H464" s="1" t="s">
        <v>10</v>
      </c>
      <c r="I464" s="9"/>
      <c r="J464" s="18"/>
      <c r="Q464" s="24"/>
    </row>
    <row r="465" spans="1:17">
      <c r="A465" s="13"/>
      <c r="B465" s="46"/>
      <c r="C465" s="1">
        <v>1</v>
      </c>
      <c r="D465" s="5">
        <v>6.1</v>
      </c>
      <c r="E465" s="5">
        <v>0.6</v>
      </c>
      <c r="F465" s="5">
        <v>0.1</v>
      </c>
      <c r="G465" s="4">
        <f t="shared" si="21"/>
        <v>0.36599999999999999</v>
      </c>
      <c r="H465" s="1" t="s">
        <v>10</v>
      </c>
      <c r="I465" s="9"/>
      <c r="J465" s="18"/>
      <c r="Q465" s="24"/>
    </row>
    <row r="466" spans="1:17">
      <c r="A466" s="13"/>
      <c r="B466" s="46"/>
      <c r="C466" s="1">
        <v>1</v>
      </c>
      <c r="D466" s="5">
        <v>26</v>
      </c>
      <c r="E466" s="5">
        <v>0.6</v>
      </c>
      <c r="F466" s="5">
        <v>0.1</v>
      </c>
      <c r="G466" s="4">
        <f t="shared" si="21"/>
        <v>1.56</v>
      </c>
      <c r="H466" s="1" t="s">
        <v>10</v>
      </c>
      <c r="I466" s="9"/>
      <c r="J466" s="18"/>
      <c r="Q466" s="24"/>
    </row>
    <row r="467" spans="1:17">
      <c r="A467" s="13"/>
      <c r="B467" s="46"/>
      <c r="C467" s="1">
        <v>1</v>
      </c>
      <c r="D467" s="5">
        <v>9.85</v>
      </c>
      <c r="E467" s="5">
        <v>0.6</v>
      </c>
      <c r="F467" s="5">
        <v>0.1</v>
      </c>
      <c r="G467" s="4">
        <f t="shared" si="21"/>
        <v>0.59099999999999997</v>
      </c>
      <c r="H467" s="1" t="s">
        <v>10</v>
      </c>
      <c r="I467" s="9"/>
      <c r="J467" s="18"/>
      <c r="Q467" s="24"/>
    </row>
    <row r="468" spans="1:17">
      <c r="A468" s="13"/>
      <c r="B468" s="46"/>
      <c r="C468" s="1"/>
      <c r="D468" s="5"/>
      <c r="E468" s="5"/>
      <c r="F468" s="5"/>
      <c r="G468" s="4"/>
      <c r="H468" s="1"/>
      <c r="I468" s="9"/>
      <c r="J468" s="18"/>
      <c r="Q468" s="24"/>
    </row>
    <row r="469" spans="1:17">
      <c r="A469" s="13"/>
      <c r="B469" s="9"/>
      <c r="C469" s="1"/>
      <c r="D469" s="1"/>
      <c r="E469" s="1"/>
      <c r="F469" s="34" t="s">
        <v>11</v>
      </c>
      <c r="G469" s="53">
        <f>SUM(G460:G468)</f>
        <v>4.4142000000000001</v>
      </c>
      <c r="H469" s="50" t="s">
        <v>12</v>
      </c>
      <c r="I469" s="9"/>
      <c r="J469" s="18"/>
      <c r="Q469" s="24"/>
    </row>
    <row r="470" spans="1:17">
      <c r="A470" s="13"/>
      <c r="B470" s="6"/>
      <c r="C470" s="1"/>
      <c r="D470" s="1"/>
      <c r="E470" s="1"/>
      <c r="F470" s="56" t="s">
        <v>13</v>
      </c>
      <c r="G470" s="27">
        <f>ROUNDUP(G469,0)</f>
        <v>5</v>
      </c>
      <c r="H470" s="28" t="s">
        <v>9</v>
      </c>
      <c r="I470" s="9"/>
      <c r="J470" s="18"/>
      <c r="Q470" s="24"/>
    </row>
    <row r="471" spans="1:17">
      <c r="A471" s="13"/>
      <c r="B471" s="6"/>
      <c r="C471" s="1"/>
      <c r="D471" s="1"/>
      <c r="E471" s="1"/>
      <c r="F471" s="1"/>
      <c r="G471" s="33"/>
      <c r="H471" s="24"/>
      <c r="I471" s="9"/>
      <c r="J471" s="18"/>
      <c r="Q471" s="24"/>
    </row>
    <row r="472" spans="1:17">
      <c r="A472" s="13"/>
      <c r="B472" s="15" t="s">
        <v>445</v>
      </c>
      <c r="C472" s="1"/>
      <c r="D472" s="5"/>
      <c r="E472" s="1"/>
      <c r="F472" s="5"/>
      <c r="G472" s="4"/>
      <c r="H472" s="1"/>
      <c r="I472" s="9"/>
      <c r="J472" s="18"/>
      <c r="Q472" s="24"/>
    </row>
    <row r="473" spans="1:17">
      <c r="A473" s="13"/>
      <c r="B473" s="46"/>
      <c r="C473" s="1">
        <v>1</v>
      </c>
      <c r="D473" s="5">
        <v>7.915</v>
      </c>
      <c r="E473" s="5">
        <v>0.6</v>
      </c>
      <c r="F473" s="5">
        <v>0.1</v>
      </c>
      <c r="G473" s="4">
        <f>C473*D473*E473*F473</f>
        <v>0.47489999999999999</v>
      </c>
      <c r="H473" s="1" t="s">
        <v>12</v>
      </c>
      <c r="I473" s="9"/>
      <c r="J473" s="18"/>
      <c r="Q473" s="24"/>
    </row>
    <row r="474" spans="1:17">
      <c r="A474" s="13"/>
      <c r="B474" s="46"/>
      <c r="C474" s="1">
        <v>1</v>
      </c>
      <c r="D474" s="5">
        <v>2.3780000000000001</v>
      </c>
      <c r="E474" s="5">
        <v>0.6</v>
      </c>
      <c r="F474" s="5">
        <v>0.1</v>
      </c>
      <c r="G474" s="4">
        <f>C474*D474*E474*F474</f>
        <v>0.14268</v>
      </c>
      <c r="H474" s="1" t="s">
        <v>10</v>
      </c>
      <c r="I474" s="9"/>
      <c r="J474" s="18"/>
      <c r="Q474" s="24"/>
    </row>
    <row r="475" spans="1:17">
      <c r="A475" s="13"/>
      <c r="B475" s="46"/>
      <c r="C475" s="1">
        <v>1</v>
      </c>
      <c r="D475" s="5">
        <v>15.305</v>
      </c>
      <c r="E475" s="5">
        <v>0.6</v>
      </c>
      <c r="F475" s="5">
        <v>0.1</v>
      </c>
      <c r="G475" s="4">
        <f>C475*D475*E475*F475</f>
        <v>0.91830000000000001</v>
      </c>
      <c r="H475" s="1" t="s">
        <v>10</v>
      </c>
      <c r="I475" s="9"/>
      <c r="J475" s="18"/>
      <c r="Q475" s="24"/>
    </row>
    <row r="476" spans="1:17">
      <c r="A476" s="13"/>
      <c r="B476" s="46"/>
      <c r="C476" s="1"/>
      <c r="D476" s="5"/>
      <c r="E476" s="5"/>
      <c r="F476" s="5"/>
      <c r="G476" s="4"/>
      <c r="H476" s="1"/>
      <c r="I476" s="9"/>
      <c r="J476" s="18"/>
      <c r="Q476" s="24"/>
    </row>
    <row r="477" spans="1:17">
      <c r="A477" s="13"/>
      <c r="B477" s="9"/>
      <c r="C477" s="1"/>
      <c r="D477" s="1"/>
      <c r="E477" s="1"/>
      <c r="F477" s="34" t="s">
        <v>11</v>
      </c>
      <c r="G477" s="53">
        <f>SUM(G473:G476)</f>
        <v>1.5358800000000001</v>
      </c>
      <c r="H477" s="50" t="s">
        <v>12</v>
      </c>
      <c r="I477" s="9"/>
      <c r="J477" s="18"/>
      <c r="Q477" s="24"/>
    </row>
    <row r="478" spans="1:17">
      <c r="A478" s="13"/>
      <c r="B478" s="6"/>
      <c r="C478" s="1"/>
      <c r="D478" s="1"/>
      <c r="E478" s="1"/>
      <c r="F478" s="56" t="s">
        <v>13</v>
      </c>
      <c r="G478" s="27">
        <f>ROUNDUP(G477,0)</f>
        <v>2</v>
      </c>
      <c r="H478" s="28" t="s">
        <v>9</v>
      </c>
      <c r="I478" s="9"/>
      <c r="J478" s="18"/>
      <c r="Q478" s="24"/>
    </row>
    <row r="479" spans="1:17">
      <c r="A479" s="13"/>
      <c r="B479" s="6"/>
      <c r="C479" s="1"/>
      <c r="D479" s="1"/>
      <c r="E479" s="1"/>
      <c r="F479" s="1"/>
      <c r="G479" s="33"/>
      <c r="H479" s="24"/>
      <c r="I479" s="9"/>
      <c r="J479" s="18"/>
      <c r="Q479" s="24"/>
    </row>
    <row r="480" spans="1:17">
      <c r="A480" s="13"/>
      <c r="B480" s="15" t="s">
        <v>57</v>
      </c>
      <c r="C480" s="1"/>
      <c r="D480" s="5"/>
      <c r="E480" s="1"/>
      <c r="F480" s="5"/>
      <c r="G480" s="4"/>
      <c r="H480" s="1"/>
      <c r="I480" s="9"/>
      <c r="J480" s="18"/>
      <c r="Q480" s="24"/>
    </row>
    <row r="481" spans="1:17">
      <c r="A481" s="13"/>
      <c r="B481" s="46"/>
      <c r="C481" s="1">
        <v>1</v>
      </c>
      <c r="D481" s="5">
        <v>10.305</v>
      </c>
      <c r="E481" s="5">
        <v>0.6</v>
      </c>
      <c r="F481" s="5">
        <v>0.1</v>
      </c>
      <c r="G481" s="4">
        <f>C481*D481*E481*F481</f>
        <v>0.61830000000000007</v>
      </c>
      <c r="H481" s="1" t="s">
        <v>12</v>
      </c>
      <c r="I481" s="9"/>
      <c r="J481" s="18"/>
      <c r="Q481" s="24"/>
    </row>
    <row r="482" spans="1:17">
      <c r="A482" s="13"/>
      <c r="B482" s="46"/>
      <c r="C482" s="1">
        <v>1</v>
      </c>
      <c r="D482" s="5">
        <v>2.35</v>
      </c>
      <c r="E482" s="5">
        <v>0.6</v>
      </c>
      <c r="F482" s="5">
        <v>0.1</v>
      </c>
      <c r="G482" s="4">
        <f>C482*D482*E482*F482</f>
        <v>0.14099999999999999</v>
      </c>
      <c r="H482" s="1" t="s">
        <v>10</v>
      </c>
      <c r="I482" s="9"/>
      <c r="J482" s="18"/>
      <c r="Q482" s="24"/>
    </row>
    <row r="483" spans="1:17">
      <c r="A483" s="13"/>
      <c r="B483" s="46"/>
      <c r="C483" s="1">
        <v>1</v>
      </c>
      <c r="D483" s="5">
        <v>10.23</v>
      </c>
      <c r="E483" s="5">
        <v>0.6</v>
      </c>
      <c r="F483" s="5">
        <v>0.1</v>
      </c>
      <c r="G483" s="4">
        <f>C483*D483*E483*F483</f>
        <v>0.61380000000000001</v>
      </c>
      <c r="H483" s="1" t="s">
        <v>10</v>
      </c>
      <c r="I483" s="9"/>
      <c r="J483" s="18"/>
      <c r="Q483" s="24"/>
    </row>
    <row r="484" spans="1:17">
      <c r="A484" s="13"/>
      <c r="B484" s="46"/>
      <c r="C484" s="1">
        <v>1</v>
      </c>
      <c r="D484" s="5">
        <v>2.9</v>
      </c>
      <c r="E484" s="5">
        <v>0.6</v>
      </c>
      <c r="F484" s="5">
        <v>1.1000000000000001</v>
      </c>
      <c r="G484" s="4">
        <f>C484*D484*E484*F484</f>
        <v>1.9140000000000001</v>
      </c>
      <c r="H484" s="1" t="s">
        <v>10</v>
      </c>
      <c r="I484" s="9"/>
      <c r="J484" s="18"/>
      <c r="Q484" s="24"/>
    </row>
    <row r="485" spans="1:17">
      <c r="A485" s="13"/>
      <c r="B485" s="46"/>
      <c r="C485" s="1"/>
      <c r="D485" s="5"/>
      <c r="E485" s="5"/>
      <c r="F485" s="5"/>
      <c r="G485" s="4"/>
      <c r="H485" s="1"/>
      <c r="I485" s="9"/>
      <c r="J485" s="18"/>
      <c r="Q485" s="24"/>
    </row>
    <row r="486" spans="1:17">
      <c r="A486" s="13"/>
      <c r="B486" s="9"/>
      <c r="C486" s="1"/>
      <c r="D486" s="1"/>
      <c r="E486" s="1"/>
      <c r="F486" s="34" t="s">
        <v>11</v>
      </c>
      <c r="G486" s="53">
        <f>SUM(G481:G484)</f>
        <v>3.2871000000000001</v>
      </c>
      <c r="H486" s="50" t="s">
        <v>12</v>
      </c>
      <c r="I486" s="9"/>
      <c r="J486" s="18"/>
      <c r="Q486" s="24"/>
    </row>
    <row r="487" spans="1:17">
      <c r="A487" s="13"/>
      <c r="B487" s="6"/>
      <c r="C487" s="1"/>
      <c r="D487" s="1"/>
      <c r="E487" s="1"/>
      <c r="F487" s="56" t="s">
        <v>13</v>
      </c>
      <c r="G487" s="27">
        <f>ROUNDUP(G486,0)</f>
        <v>4</v>
      </c>
      <c r="H487" s="28" t="s">
        <v>9</v>
      </c>
      <c r="I487" s="9"/>
      <c r="J487" s="18"/>
      <c r="Q487" s="24"/>
    </row>
    <row r="488" spans="1:17">
      <c r="A488" s="13"/>
      <c r="B488" s="6"/>
      <c r="C488" s="1"/>
      <c r="D488" s="1"/>
      <c r="E488" s="1"/>
      <c r="F488" s="1"/>
      <c r="G488" s="33"/>
      <c r="H488" s="24"/>
      <c r="I488" s="9"/>
      <c r="J488" s="18"/>
      <c r="Q488" s="24"/>
    </row>
    <row r="489" spans="1:17">
      <c r="A489" s="18">
        <f>A458+1</f>
        <v>17</v>
      </c>
      <c r="B489" s="9" t="s">
        <v>84</v>
      </c>
      <c r="I489" s="9"/>
      <c r="J489" s="18"/>
    </row>
    <row r="490" spans="1:17">
      <c r="A490" s="13"/>
      <c r="B490" s="15" t="s">
        <v>56</v>
      </c>
      <c r="C490" s="1"/>
      <c r="D490" s="5"/>
      <c r="E490" s="1"/>
      <c r="F490" s="5"/>
      <c r="G490" s="4"/>
      <c r="H490" s="1"/>
      <c r="I490" s="9"/>
      <c r="J490" s="18"/>
    </row>
    <row r="491" spans="1:17">
      <c r="A491" s="13"/>
      <c r="B491" s="46"/>
      <c r="C491" s="1">
        <v>10</v>
      </c>
      <c r="D491" s="5">
        <v>2</v>
      </c>
      <c r="E491" s="5">
        <v>0.45</v>
      </c>
      <c r="F491" s="5">
        <v>0.1</v>
      </c>
      <c r="G491" s="4">
        <f>C491*D491*E491*F491</f>
        <v>0.9</v>
      </c>
      <c r="H491" s="1" t="s">
        <v>12</v>
      </c>
      <c r="I491" s="9"/>
      <c r="J491" s="18"/>
    </row>
    <row r="492" spans="1:17">
      <c r="A492" s="13"/>
      <c r="B492" s="6"/>
      <c r="C492" s="1"/>
      <c r="D492" s="1"/>
      <c r="E492" s="1"/>
      <c r="F492" s="56" t="s">
        <v>13</v>
      </c>
      <c r="G492" s="27">
        <f>ROUNDUP(G491,0)</f>
        <v>1</v>
      </c>
      <c r="H492" s="28" t="s">
        <v>9</v>
      </c>
      <c r="I492" s="9"/>
      <c r="J492" s="18"/>
    </row>
    <row r="493" spans="1:17">
      <c r="A493" s="13"/>
      <c r="B493" s="6"/>
      <c r="C493" s="1"/>
      <c r="D493" s="1"/>
      <c r="E493" s="1"/>
      <c r="F493" s="1"/>
      <c r="G493" s="33"/>
      <c r="H493" s="24"/>
      <c r="I493" s="9"/>
      <c r="J493" s="18"/>
    </row>
    <row r="494" spans="1:17">
      <c r="A494" s="13"/>
      <c r="B494" s="15" t="s">
        <v>445</v>
      </c>
      <c r="C494" s="1"/>
      <c r="D494" s="5"/>
      <c r="E494" s="1"/>
      <c r="F494" s="5"/>
      <c r="G494" s="4"/>
      <c r="H494" s="1"/>
      <c r="I494" s="9"/>
      <c r="J494" s="18"/>
    </row>
    <row r="495" spans="1:17">
      <c r="A495" s="13"/>
      <c r="B495" s="46"/>
      <c r="C495" s="1">
        <v>16</v>
      </c>
      <c r="D495" s="5">
        <v>2</v>
      </c>
      <c r="E495" s="5">
        <v>0.45</v>
      </c>
      <c r="F495" s="5">
        <v>0.1</v>
      </c>
      <c r="G495" s="4">
        <f>C495*D495*E495*F495</f>
        <v>1.4400000000000002</v>
      </c>
      <c r="H495" s="1" t="s">
        <v>12</v>
      </c>
      <c r="I495" s="9"/>
      <c r="J495" s="18"/>
    </row>
    <row r="496" spans="1:17">
      <c r="A496" s="13"/>
      <c r="B496" s="46"/>
      <c r="C496" s="1">
        <v>8</v>
      </c>
      <c r="D496" s="5">
        <v>1.5</v>
      </c>
      <c r="E496" s="5">
        <v>0.45</v>
      </c>
      <c r="F496" s="5">
        <v>0.1</v>
      </c>
      <c r="G496" s="4">
        <f>C496*D496*E496*F496</f>
        <v>0.54</v>
      </c>
      <c r="H496" s="1" t="s">
        <v>10</v>
      </c>
      <c r="I496" s="9"/>
      <c r="J496" s="18"/>
    </row>
    <row r="497" spans="1:10">
      <c r="A497" s="13"/>
      <c r="B497" s="46"/>
      <c r="C497" s="1"/>
      <c r="D497" s="5"/>
      <c r="E497" s="5"/>
      <c r="F497" s="5"/>
      <c r="G497" s="4"/>
      <c r="H497" s="1"/>
      <c r="I497" s="9"/>
      <c r="J497" s="18"/>
    </row>
    <row r="498" spans="1:10">
      <c r="A498" s="13"/>
      <c r="B498" s="9"/>
      <c r="C498" s="1"/>
      <c r="D498" s="1"/>
      <c r="E498" s="1"/>
      <c r="F498" s="34" t="s">
        <v>11</v>
      </c>
      <c r="G498" s="53">
        <f>SUM(G495:G497)</f>
        <v>1.9800000000000002</v>
      </c>
      <c r="H498" s="50" t="s">
        <v>12</v>
      </c>
      <c r="I498" s="9"/>
      <c r="J498" s="18"/>
    </row>
    <row r="499" spans="1:10">
      <c r="A499" s="13"/>
      <c r="B499" s="6"/>
      <c r="C499" s="1"/>
      <c r="D499" s="1"/>
      <c r="E499" s="1"/>
      <c r="F499" s="56" t="s">
        <v>13</v>
      </c>
      <c r="G499" s="27">
        <f>ROUNDUP(G498,0)</f>
        <v>2</v>
      </c>
      <c r="H499" s="28" t="s">
        <v>9</v>
      </c>
      <c r="I499" s="9"/>
      <c r="J499" s="18"/>
    </row>
    <row r="500" spans="1:10">
      <c r="A500" s="13"/>
      <c r="B500" s="6"/>
      <c r="C500" s="1"/>
      <c r="D500" s="1"/>
      <c r="E500" s="1"/>
      <c r="F500" s="1"/>
      <c r="G500" s="33"/>
      <c r="H500" s="24"/>
      <c r="I500" s="9"/>
      <c r="J500" s="18"/>
    </row>
    <row r="501" spans="1:10">
      <c r="A501" s="13"/>
      <c r="B501" s="15" t="s">
        <v>57</v>
      </c>
      <c r="C501" s="1"/>
      <c r="D501" s="5"/>
      <c r="E501" s="1"/>
      <c r="F501" s="5"/>
      <c r="G501" s="4"/>
      <c r="H501" s="1"/>
      <c r="I501" s="9"/>
      <c r="J501" s="18"/>
    </row>
    <row r="502" spans="1:10">
      <c r="A502" s="13"/>
      <c r="B502" s="46"/>
      <c r="C502" s="1">
        <v>8</v>
      </c>
      <c r="D502" s="5">
        <v>2</v>
      </c>
      <c r="E502" s="5">
        <v>0.45</v>
      </c>
      <c r="F502" s="5">
        <v>0.1</v>
      </c>
      <c r="G502" s="4">
        <f>C502*D502*E502*F502</f>
        <v>0.72000000000000008</v>
      </c>
      <c r="H502" s="1" t="s">
        <v>12</v>
      </c>
      <c r="I502" s="9"/>
      <c r="J502" s="18"/>
    </row>
    <row r="503" spans="1:10">
      <c r="A503" s="13"/>
      <c r="B503" s="46"/>
      <c r="C503" s="1">
        <v>4</v>
      </c>
      <c r="D503" s="5">
        <v>1.5</v>
      </c>
      <c r="E503" s="5">
        <v>0.45</v>
      </c>
      <c r="F503" s="5">
        <v>0.1</v>
      </c>
      <c r="G503" s="4">
        <f>C503*D503*E503*F503</f>
        <v>0.27</v>
      </c>
      <c r="H503" s="1" t="s">
        <v>10</v>
      </c>
      <c r="I503" s="9"/>
      <c r="J503" s="18"/>
    </row>
    <row r="504" spans="1:10">
      <c r="A504" s="13"/>
      <c r="B504" s="46"/>
      <c r="C504" s="1"/>
      <c r="D504" s="5"/>
      <c r="E504" s="5"/>
      <c r="F504" s="5"/>
      <c r="G504" s="4"/>
      <c r="H504" s="1"/>
      <c r="I504" s="9"/>
      <c r="J504" s="18"/>
    </row>
    <row r="505" spans="1:10">
      <c r="A505" s="13"/>
      <c r="B505" s="9"/>
      <c r="C505" s="1"/>
      <c r="D505" s="1"/>
      <c r="E505" s="1"/>
      <c r="F505" s="34" t="s">
        <v>11</v>
      </c>
      <c r="G505" s="53">
        <f>SUM(G502:G504)</f>
        <v>0.9900000000000001</v>
      </c>
      <c r="H505" s="50" t="s">
        <v>12</v>
      </c>
      <c r="I505" s="9"/>
      <c r="J505" s="18"/>
    </row>
    <row r="506" spans="1:10">
      <c r="A506" s="13"/>
      <c r="B506" s="6"/>
      <c r="C506" s="1"/>
      <c r="D506" s="1"/>
      <c r="E506" s="1"/>
      <c r="F506" s="56" t="s">
        <v>13</v>
      </c>
      <c r="G506" s="27">
        <f>ROUNDUP(G505,0)</f>
        <v>1</v>
      </c>
      <c r="H506" s="28" t="s">
        <v>9</v>
      </c>
      <c r="I506" s="9"/>
      <c r="J506" s="18"/>
    </row>
    <row r="507" spans="1:10">
      <c r="A507" s="13"/>
      <c r="B507" s="6"/>
      <c r="C507" s="1"/>
      <c r="D507" s="1"/>
      <c r="E507" s="1"/>
      <c r="F507" s="1"/>
      <c r="G507" s="33"/>
      <c r="H507" s="24"/>
      <c r="I507" s="9"/>
      <c r="J507" s="18"/>
    </row>
    <row r="508" spans="1:10">
      <c r="A508" s="18"/>
      <c r="B508" s="44" t="s">
        <v>123</v>
      </c>
      <c r="C508" s="1"/>
      <c r="D508" s="1"/>
      <c r="E508" s="1"/>
      <c r="F508" s="1"/>
      <c r="G508" s="33"/>
      <c r="H508" s="24"/>
      <c r="I508" s="9"/>
      <c r="J508" s="18"/>
    </row>
    <row r="509" spans="1:10">
      <c r="A509" s="18">
        <f>A489+1</f>
        <v>18</v>
      </c>
      <c r="B509" s="9" t="s">
        <v>71</v>
      </c>
      <c r="C509" s="1"/>
      <c r="D509" s="1"/>
      <c r="E509" s="1"/>
      <c r="F509" s="5"/>
      <c r="G509" s="33"/>
      <c r="H509" s="24"/>
      <c r="I509" s="9"/>
      <c r="J509" s="18"/>
    </row>
    <row r="510" spans="1:10">
      <c r="A510" s="13"/>
      <c r="B510" s="81"/>
      <c r="C510" s="61">
        <f t="shared" ref="C510:C517" si="22">C133</f>
        <v>3</v>
      </c>
      <c r="D510" s="5">
        <f t="shared" ref="D510:D517" si="23">(D133+E133)*2</f>
        <v>81.7</v>
      </c>
      <c r="E510" s="5"/>
      <c r="F510" s="5">
        <f t="shared" ref="F510:F517" si="24">F133</f>
        <v>0.45</v>
      </c>
      <c r="G510" s="4">
        <f>C510*D510*F510</f>
        <v>110.29500000000002</v>
      </c>
      <c r="H510" s="1" t="s">
        <v>17</v>
      </c>
      <c r="I510" s="9"/>
      <c r="J510" s="18"/>
    </row>
    <row r="511" spans="1:10">
      <c r="A511" s="13"/>
      <c r="B511" s="81"/>
      <c r="C511" s="61">
        <f t="shared" si="22"/>
        <v>2</v>
      </c>
      <c r="D511" s="5">
        <f t="shared" si="23"/>
        <v>81.7</v>
      </c>
      <c r="E511" s="5"/>
      <c r="F511" s="5">
        <f t="shared" si="24"/>
        <v>0.6</v>
      </c>
      <c r="G511" s="4">
        <f t="shared" ref="G511:G536" si="25">C511*D511*F511</f>
        <v>98.04</v>
      </c>
      <c r="H511" s="1" t="s">
        <v>10</v>
      </c>
      <c r="I511" s="9"/>
      <c r="J511" s="18"/>
    </row>
    <row r="512" spans="1:10">
      <c r="A512" s="13"/>
      <c r="B512" s="81"/>
      <c r="C512" s="61">
        <f t="shared" si="22"/>
        <v>2</v>
      </c>
      <c r="D512" s="5">
        <f t="shared" si="23"/>
        <v>52.7</v>
      </c>
      <c r="E512" s="5"/>
      <c r="F512" s="5">
        <f t="shared" si="24"/>
        <v>0.45</v>
      </c>
      <c r="G512" s="4">
        <f t="shared" si="25"/>
        <v>47.430000000000007</v>
      </c>
      <c r="H512" s="1" t="s">
        <v>10</v>
      </c>
      <c r="I512" s="9"/>
      <c r="J512" s="18"/>
    </row>
    <row r="513" spans="1:10">
      <c r="A513" s="13"/>
      <c r="B513" s="81"/>
      <c r="C513" s="61">
        <f t="shared" si="22"/>
        <v>1</v>
      </c>
      <c r="D513" s="5">
        <f t="shared" si="23"/>
        <v>24.05</v>
      </c>
      <c r="E513" s="5"/>
      <c r="F513" s="5">
        <f t="shared" si="24"/>
        <v>0.45</v>
      </c>
      <c r="G513" s="4">
        <f t="shared" si="25"/>
        <v>10.8225</v>
      </c>
      <c r="H513" s="1" t="s">
        <v>10</v>
      </c>
      <c r="I513" s="9"/>
      <c r="J513" s="18"/>
    </row>
    <row r="514" spans="1:10">
      <c r="A514" s="13"/>
      <c r="B514" s="81"/>
      <c r="C514" s="61">
        <f t="shared" si="22"/>
        <v>1</v>
      </c>
      <c r="D514" s="5">
        <f t="shared" si="23"/>
        <v>23.25</v>
      </c>
      <c r="E514" s="5"/>
      <c r="F514" s="5">
        <f t="shared" si="24"/>
        <v>0.45</v>
      </c>
      <c r="G514" s="4">
        <f t="shared" si="25"/>
        <v>10.4625</v>
      </c>
      <c r="H514" s="1" t="s">
        <v>10</v>
      </c>
      <c r="I514" s="9"/>
      <c r="J514" s="18"/>
    </row>
    <row r="515" spans="1:10">
      <c r="A515" s="13"/>
      <c r="B515" s="81"/>
      <c r="C515" s="61">
        <f t="shared" si="22"/>
        <v>1</v>
      </c>
      <c r="D515" s="5">
        <f t="shared" si="23"/>
        <v>17.55</v>
      </c>
      <c r="E515" s="5"/>
      <c r="F515" s="5">
        <f t="shared" si="24"/>
        <v>0.45</v>
      </c>
      <c r="G515" s="4">
        <f t="shared" si="25"/>
        <v>7.8975000000000009</v>
      </c>
      <c r="H515" s="1" t="s">
        <v>10</v>
      </c>
      <c r="I515" s="9"/>
      <c r="J515" s="18"/>
    </row>
    <row r="516" spans="1:10">
      <c r="A516" s="13"/>
      <c r="B516" s="81"/>
      <c r="C516" s="61">
        <f t="shared" si="22"/>
        <v>1</v>
      </c>
      <c r="D516" s="5">
        <f t="shared" si="23"/>
        <v>17.7</v>
      </c>
      <c r="E516" s="5"/>
      <c r="F516" s="5">
        <f t="shared" si="24"/>
        <v>0.45</v>
      </c>
      <c r="G516" s="4">
        <f t="shared" si="25"/>
        <v>7.9649999999999999</v>
      </c>
      <c r="H516" s="1" t="s">
        <v>10</v>
      </c>
      <c r="I516" s="9"/>
      <c r="J516" s="18"/>
    </row>
    <row r="517" spans="1:10">
      <c r="A517" s="13"/>
      <c r="B517" s="81"/>
      <c r="C517" s="61">
        <f t="shared" si="22"/>
        <v>1</v>
      </c>
      <c r="D517" s="5">
        <f t="shared" si="23"/>
        <v>13.86</v>
      </c>
      <c r="E517" s="5"/>
      <c r="F517" s="5">
        <f t="shared" si="24"/>
        <v>0.45</v>
      </c>
      <c r="G517" s="4">
        <f t="shared" si="25"/>
        <v>6.2370000000000001</v>
      </c>
      <c r="H517" s="1" t="s">
        <v>10</v>
      </c>
      <c r="I517" s="9"/>
      <c r="J517" s="18"/>
    </row>
    <row r="518" spans="1:10">
      <c r="A518" s="13"/>
      <c r="B518" s="81"/>
      <c r="C518" s="61">
        <f t="shared" ref="C518:C536" si="26">C142</f>
        <v>7</v>
      </c>
      <c r="D518" s="5">
        <f t="shared" ref="D518:D536" si="27">(D142+E142)*2</f>
        <v>10.860000000000001</v>
      </c>
      <c r="E518" s="5"/>
      <c r="F518" s="5">
        <f t="shared" ref="F518:F536" si="28">F142</f>
        <v>0.45</v>
      </c>
      <c r="G518" s="4">
        <f t="shared" si="25"/>
        <v>34.209000000000003</v>
      </c>
      <c r="H518" s="1" t="s">
        <v>10</v>
      </c>
      <c r="I518" s="9"/>
      <c r="J518" s="18"/>
    </row>
    <row r="519" spans="1:10">
      <c r="A519" s="13"/>
      <c r="B519" s="81"/>
      <c r="C519" s="61">
        <f t="shared" si="26"/>
        <v>6</v>
      </c>
      <c r="D519" s="5">
        <f t="shared" si="27"/>
        <v>10.860000000000001</v>
      </c>
      <c r="E519" s="5"/>
      <c r="F519" s="5">
        <f t="shared" si="28"/>
        <v>0.45</v>
      </c>
      <c r="G519" s="4">
        <f t="shared" si="25"/>
        <v>29.322000000000006</v>
      </c>
      <c r="H519" s="1" t="s">
        <v>10</v>
      </c>
      <c r="I519" s="9"/>
      <c r="J519" s="18"/>
    </row>
    <row r="520" spans="1:10">
      <c r="A520" s="13"/>
      <c r="B520" s="81"/>
      <c r="C520" s="61">
        <f t="shared" si="26"/>
        <v>5</v>
      </c>
      <c r="D520" s="5">
        <f t="shared" si="27"/>
        <v>10.860000000000001</v>
      </c>
      <c r="E520" s="5"/>
      <c r="F520" s="5">
        <f t="shared" si="28"/>
        <v>0.45</v>
      </c>
      <c r="G520" s="4">
        <f t="shared" si="25"/>
        <v>24.435000000000002</v>
      </c>
      <c r="H520" s="1" t="s">
        <v>10</v>
      </c>
      <c r="I520" s="9"/>
      <c r="J520" s="18"/>
    </row>
    <row r="521" spans="1:10">
      <c r="A521" s="13"/>
      <c r="B521" s="81"/>
      <c r="C521" s="61">
        <f t="shared" si="26"/>
        <v>6</v>
      </c>
      <c r="D521" s="5">
        <f t="shared" si="27"/>
        <v>6.46</v>
      </c>
      <c r="E521" s="5"/>
      <c r="F521" s="5">
        <f t="shared" si="28"/>
        <v>0.45</v>
      </c>
      <c r="G521" s="4">
        <f t="shared" si="25"/>
        <v>17.442</v>
      </c>
      <c r="H521" s="1" t="s">
        <v>10</v>
      </c>
      <c r="I521" s="9"/>
      <c r="J521" s="18"/>
    </row>
    <row r="522" spans="1:10">
      <c r="A522" s="13"/>
      <c r="B522" s="81"/>
      <c r="C522" s="61">
        <f t="shared" si="26"/>
        <v>6</v>
      </c>
      <c r="D522" s="5">
        <f t="shared" si="27"/>
        <v>4.8600000000000003</v>
      </c>
      <c r="E522" s="5"/>
      <c r="F522" s="5">
        <f t="shared" si="28"/>
        <v>0.45</v>
      </c>
      <c r="G522" s="4">
        <f t="shared" si="25"/>
        <v>13.122000000000002</v>
      </c>
      <c r="H522" s="1" t="s">
        <v>10</v>
      </c>
      <c r="I522" s="9"/>
      <c r="J522" s="18"/>
    </row>
    <row r="523" spans="1:10">
      <c r="A523" s="13"/>
      <c r="B523" s="81"/>
      <c r="C523" s="61">
        <f t="shared" si="26"/>
        <v>5</v>
      </c>
      <c r="D523" s="5">
        <f t="shared" si="27"/>
        <v>10.860000000000001</v>
      </c>
      <c r="E523" s="5"/>
      <c r="F523" s="5">
        <f t="shared" si="28"/>
        <v>0.45</v>
      </c>
      <c r="G523" s="4">
        <f t="shared" si="25"/>
        <v>24.435000000000002</v>
      </c>
      <c r="H523" s="1" t="s">
        <v>10</v>
      </c>
      <c r="I523" s="9"/>
      <c r="J523" s="18"/>
    </row>
    <row r="524" spans="1:10">
      <c r="A524" s="13"/>
      <c r="B524" s="81"/>
      <c r="C524" s="61">
        <f t="shared" si="26"/>
        <v>5</v>
      </c>
      <c r="D524" s="5">
        <f t="shared" si="27"/>
        <v>5.46</v>
      </c>
      <c r="E524" s="5"/>
      <c r="F524" s="5">
        <f t="shared" si="28"/>
        <v>0.45</v>
      </c>
      <c r="G524" s="4">
        <f t="shared" si="25"/>
        <v>12.285</v>
      </c>
      <c r="H524" s="1" t="s">
        <v>10</v>
      </c>
      <c r="I524" s="9"/>
      <c r="J524" s="18"/>
    </row>
    <row r="525" spans="1:10">
      <c r="A525" s="13"/>
      <c r="B525" s="81"/>
      <c r="C525" s="61">
        <f t="shared" si="26"/>
        <v>5</v>
      </c>
      <c r="D525" s="5">
        <f t="shared" si="27"/>
        <v>5.46</v>
      </c>
      <c r="E525" s="5"/>
      <c r="F525" s="5">
        <f t="shared" si="28"/>
        <v>0.45</v>
      </c>
      <c r="G525" s="4">
        <f t="shared" si="25"/>
        <v>12.285</v>
      </c>
      <c r="H525" s="1" t="s">
        <v>10</v>
      </c>
      <c r="I525" s="9"/>
      <c r="J525" s="18"/>
    </row>
    <row r="526" spans="1:10">
      <c r="A526" s="13"/>
      <c r="B526" s="81"/>
      <c r="C526" s="61">
        <f t="shared" si="26"/>
        <v>6</v>
      </c>
      <c r="D526" s="5">
        <f t="shared" si="27"/>
        <v>10.46</v>
      </c>
      <c r="E526" s="5"/>
      <c r="F526" s="5">
        <f t="shared" si="28"/>
        <v>0.45</v>
      </c>
      <c r="G526" s="4">
        <f t="shared" si="25"/>
        <v>28.242000000000004</v>
      </c>
      <c r="H526" s="1" t="s">
        <v>10</v>
      </c>
      <c r="I526" s="9"/>
      <c r="J526" s="18"/>
    </row>
    <row r="527" spans="1:10">
      <c r="A527" s="13"/>
      <c r="B527" s="81"/>
      <c r="C527" s="61">
        <f t="shared" si="26"/>
        <v>6</v>
      </c>
      <c r="D527" s="5">
        <f t="shared" si="27"/>
        <v>10.46</v>
      </c>
      <c r="E527" s="5"/>
      <c r="F527" s="5">
        <f t="shared" si="28"/>
        <v>0.45</v>
      </c>
      <c r="G527" s="4">
        <f t="shared" si="25"/>
        <v>28.242000000000004</v>
      </c>
      <c r="H527" s="1" t="s">
        <v>10</v>
      </c>
      <c r="I527" s="9"/>
      <c r="J527" s="18"/>
    </row>
    <row r="528" spans="1:10">
      <c r="A528" s="13"/>
      <c r="B528" s="81"/>
      <c r="C528" s="61">
        <f t="shared" si="26"/>
        <v>4</v>
      </c>
      <c r="D528" s="5">
        <f t="shared" si="27"/>
        <v>2.04</v>
      </c>
      <c r="E528" s="5"/>
      <c r="F528" s="5">
        <f t="shared" si="28"/>
        <v>0.45</v>
      </c>
      <c r="G528" s="4">
        <f t="shared" si="25"/>
        <v>3.6720000000000002</v>
      </c>
      <c r="H528" s="1" t="s">
        <v>10</v>
      </c>
      <c r="I528" s="9"/>
      <c r="J528" s="18"/>
    </row>
    <row r="529" spans="1:13">
      <c r="A529" s="13"/>
      <c r="B529" s="81"/>
      <c r="C529" s="61">
        <f t="shared" si="26"/>
        <v>4</v>
      </c>
      <c r="D529" s="5">
        <f t="shared" si="27"/>
        <v>2.86</v>
      </c>
      <c r="E529" s="5"/>
      <c r="F529" s="5">
        <f t="shared" si="28"/>
        <v>0.45</v>
      </c>
      <c r="G529" s="4">
        <f t="shared" si="25"/>
        <v>5.1479999999999997</v>
      </c>
      <c r="H529" s="1" t="s">
        <v>10</v>
      </c>
      <c r="I529" s="9"/>
      <c r="J529" s="18"/>
    </row>
    <row r="530" spans="1:13">
      <c r="A530" s="13"/>
      <c r="B530" s="81"/>
      <c r="C530" s="61">
        <f t="shared" si="26"/>
        <v>9</v>
      </c>
      <c r="D530" s="5">
        <f t="shared" si="27"/>
        <v>9.4600000000000009</v>
      </c>
      <c r="E530" s="5"/>
      <c r="F530" s="5">
        <f t="shared" si="28"/>
        <v>0.45</v>
      </c>
      <c r="G530" s="4">
        <f t="shared" si="25"/>
        <v>38.313000000000009</v>
      </c>
      <c r="H530" s="1" t="s">
        <v>10</v>
      </c>
      <c r="I530" s="9"/>
      <c r="J530" s="18"/>
    </row>
    <row r="531" spans="1:13">
      <c r="A531" s="13"/>
      <c r="B531" s="81"/>
      <c r="C531" s="61">
        <f t="shared" si="26"/>
        <v>9</v>
      </c>
      <c r="D531" s="5">
        <f t="shared" si="27"/>
        <v>9.4600000000000009</v>
      </c>
      <c r="E531" s="5"/>
      <c r="F531" s="5">
        <f t="shared" si="28"/>
        <v>0.45</v>
      </c>
      <c r="G531" s="4">
        <f t="shared" si="25"/>
        <v>38.313000000000009</v>
      </c>
      <c r="H531" s="1" t="s">
        <v>10</v>
      </c>
      <c r="I531" s="9"/>
      <c r="J531" s="18"/>
    </row>
    <row r="532" spans="1:13">
      <c r="A532" s="13"/>
      <c r="B532" s="81"/>
      <c r="C532" s="61">
        <f t="shared" si="26"/>
        <v>10</v>
      </c>
      <c r="D532" s="5">
        <f t="shared" si="27"/>
        <v>5.46</v>
      </c>
      <c r="E532" s="5"/>
      <c r="F532" s="5">
        <f t="shared" si="28"/>
        <v>0.45</v>
      </c>
      <c r="G532" s="4">
        <f t="shared" si="25"/>
        <v>24.57</v>
      </c>
      <c r="H532" s="1" t="s">
        <v>10</v>
      </c>
      <c r="I532" s="9"/>
      <c r="J532" s="18"/>
    </row>
    <row r="533" spans="1:13">
      <c r="A533" s="13"/>
      <c r="B533" s="81"/>
      <c r="C533" s="61">
        <f t="shared" si="26"/>
        <v>10</v>
      </c>
      <c r="D533" s="5">
        <f t="shared" si="27"/>
        <v>5.46</v>
      </c>
      <c r="E533" s="5"/>
      <c r="F533" s="5">
        <f t="shared" si="28"/>
        <v>0.45</v>
      </c>
      <c r="G533" s="4">
        <f t="shared" si="25"/>
        <v>24.57</v>
      </c>
      <c r="H533" s="1" t="s">
        <v>10</v>
      </c>
      <c r="I533" s="9"/>
      <c r="J533" s="18"/>
    </row>
    <row r="534" spans="1:13">
      <c r="A534" s="13"/>
      <c r="B534" s="81"/>
      <c r="C534" s="61">
        <f t="shared" si="26"/>
        <v>9</v>
      </c>
      <c r="D534" s="5">
        <f t="shared" si="27"/>
        <v>2.96</v>
      </c>
      <c r="E534" s="5"/>
      <c r="F534" s="5">
        <f t="shared" si="28"/>
        <v>0.45</v>
      </c>
      <c r="G534" s="4">
        <f t="shared" si="25"/>
        <v>11.988000000000001</v>
      </c>
      <c r="H534" s="1" t="s">
        <v>10</v>
      </c>
      <c r="I534" s="9"/>
      <c r="J534" s="18"/>
    </row>
    <row r="535" spans="1:13">
      <c r="A535" s="13"/>
      <c r="B535" s="81"/>
      <c r="C535" s="61">
        <f t="shared" si="26"/>
        <v>9</v>
      </c>
      <c r="D535" s="5">
        <f t="shared" si="27"/>
        <v>7.96</v>
      </c>
      <c r="E535" s="5"/>
      <c r="F535" s="5">
        <f t="shared" si="28"/>
        <v>0.45</v>
      </c>
      <c r="G535" s="4">
        <f t="shared" si="25"/>
        <v>32.238</v>
      </c>
      <c r="H535" s="1" t="s">
        <v>10</v>
      </c>
      <c r="I535" s="9"/>
      <c r="J535" s="18"/>
    </row>
    <row r="536" spans="1:13">
      <c r="A536" s="13"/>
      <c r="B536" s="81"/>
      <c r="C536" s="61">
        <f t="shared" si="26"/>
        <v>9</v>
      </c>
      <c r="D536" s="5">
        <f t="shared" si="27"/>
        <v>7.46</v>
      </c>
      <c r="E536" s="5"/>
      <c r="F536" s="5">
        <f t="shared" si="28"/>
        <v>0.45</v>
      </c>
      <c r="G536" s="4">
        <f t="shared" si="25"/>
        <v>30.213000000000001</v>
      </c>
      <c r="H536" s="1" t="s">
        <v>10</v>
      </c>
      <c r="I536" s="9"/>
      <c r="J536" s="18"/>
    </row>
    <row r="537" spans="1:13">
      <c r="A537" s="13"/>
      <c r="B537" s="81"/>
      <c r="C537" s="61"/>
      <c r="D537" s="61"/>
      <c r="E537" s="5"/>
      <c r="F537" s="5"/>
      <c r="G537" s="4"/>
      <c r="H537" s="1"/>
      <c r="I537" s="9"/>
      <c r="J537" s="18"/>
    </row>
    <row r="538" spans="1:13">
      <c r="A538" s="13"/>
      <c r="B538" s="9"/>
      <c r="C538" s="1"/>
      <c r="D538" s="1"/>
      <c r="E538" s="1"/>
      <c r="F538" s="34" t="s">
        <v>11</v>
      </c>
      <c r="G538" s="53">
        <f>SUM(G510:G537)</f>
        <v>732.19350000000031</v>
      </c>
      <c r="H538" s="50" t="s">
        <v>17</v>
      </c>
      <c r="I538" s="9"/>
      <c r="J538" s="18"/>
    </row>
    <row r="539" spans="1:13">
      <c r="A539" s="13"/>
      <c r="B539" s="9"/>
      <c r="C539" s="1"/>
      <c r="D539" s="1"/>
      <c r="E539" s="1"/>
      <c r="F539" s="56" t="s">
        <v>13</v>
      </c>
      <c r="G539" s="27">
        <f>ROUNDUP(G538,0)</f>
        <v>733</v>
      </c>
      <c r="H539" s="28" t="s">
        <v>17</v>
      </c>
      <c r="I539" s="9"/>
      <c r="J539" s="18"/>
    </row>
    <row r="540" spans="1:13">
      <c r="A540" s="18"/>
      <c r="B540" s="8"/>
      <c r="C540" s="1"/>
      <c r="D540" s="1"/>
      <c r="E540" s="1"/>
      <c r="F540" s="1"/>
      <c r="G540" s="33"/>
      <c r="H540" s="24"/>
      <c r="I540" s="9"/>
      <c r="J540" s="18"/>
    </row>
    <row r="541" spans="1:13">
      <c r="A541" s="18">
        <f>A509+1</f>
        <v>19</v>
      </c>
      <c r="B541" s="9" t="s">
        <v>48</v>
      </c>
      <c r="C541" s="1"/>
      <c r="D541" s="1"/>
      <c r="E541" s="1"/>
      <c r="F541" s="5"/>
      <c r="G541" s="33"/>
      <c r="H541" s="24"/>
      <c r="I541" s="9"/>
      <c r="J541" s="18"/>
    </row>
    <row r="542" spans="1:13">
      <c r="A542" s="18"/>
      <c r="B542" s="15" t="s">
        <v>56</v>
      </c>
      <c r="C542" s="1"/>
      <c r="D542" s="1"/>
      <c r="E542" s="1"/>
      <c r="F542" s="5"/>
      <c r="G542" s="33"/>
      <c r="H542" s="24"/>
      <c r="I542" s="9"/>
      <c r="J542" s="18"/>
    </row>
    <row r="543" spans="1:13">
      <c r="A543" s="13"/>
      <c r="B543" s="46" t="str">
        <f>B169</f>
        <v>Pedestal</v>
      </c>
      <c r="C543" s="1">
        <f>C169</f>
        <v>41</v>
      </c>
      <c r="D543" s="5">
        <f>(D169+E169)*2</f>
        <v>2.4</v>
      </c>
      <c r="E543" s="5"/>
      <c r="F543" s="5">
        <f t="shared" ref="F543:F555" si="29">F169</f>
        <v>0.45</v>
      </c>
      <c r="G543" s="4">
        <f>C543*D543*F543</f>
        <v>44.279999999999994</v>
      </c>
      <c r="H543" s="1" t="s">
        <v>17</v>
      </c>
      <c r="I543" s="46"/>
      <c r="J543" s="1"/>
      <c r="K543" s="5"/>
      <c r="L543" s="5"/>
      <c r="M543" s="5"/>
    </row>
    <row r="544" spans="1:13">
      <c r="A544" s="13"/>
      <c r="B544" s="46"/>
      <c r="C544" s="1">
        <f t="shared" ref="C544:C555" si="30">C170</f>
        <v>8</v>
      </c>
      <c r="D544" s="5">
        <f>(D170+E170)*2</f>
        <v>2.8</v>
      </c>
      <c r="E544" s="5"/>
      <c r="F544" s="5">
        <f t="shared" si="29"/>
        <v>0.6</v>
      </c>
      <c r="G544" s="4">
        <f t="shared" ref="G544:G555" si="31">C544*D544*F544</f>
        <v>13.44</v>
      </c>
      <c r="H544" s="1" t="s">
        <v>10</v>
      </c>
      <c r="I544" s="46"/>
      <c r="J544" s="1"/>
      <c r="K544" s="5"/>
      <c r="L544" s="5"/>
      <c r="M544" s="5"/>
    </row>
    <row r="545" spans="1:13">
      <c r="A545" s="13"/>
      <c r="B545" s="46"/>
      <c r="C545" s="1">
        <f t="shared" si="30"/>
        <v>9</v>
      </c>
      <c r="D545" s="5">
        <f>D171*4</f>
        <v>1.8</v>
      </c>
      <c r="E545" s="5"/>
      <c r="F545" s="5">
        <f t="shared" si="29"/>
        <v>0.45</v>
      </c>
      <c r="G545" s="4">
        <f t="shared" si="31"/>
        <v>7.29</v>
      </c>
      <c r="H545" s="1" t="s">
        <v>10</v>
      </c>
      <c r="I545" s="46"/>
      <c r="J545" s="1"/>
      <c r="K545" s="5"/>
      <c r="L545" s="5"/>
      <c r="M545" s="5"/>
    </row>
    <row r="546" spans="1:13">
      <c r="A546" s="13"/>
      <c r="B546" s="46" t="str">
        <f>B172</f>
        <v>Upto plinth</v>
      </c>
      <c r="C546" s="1">
        <f t="shared" si="30"/>
        <v>41</v>
      </c>
      <c r="D546" s="5">
        <f t="shared" ref="D546:D555" si="32">(D172*E172)*2</f>
        <v>0.2888</v>
      </c>
      <c r="E546" s="5"/>
      <c r="F546" s="5">
        <f t="shared" si="29"/>
        <v>2.5</v>
      </c>
      <c r="G546" s="4">
        <f t="shared" si="31"/>
        <v>29.602</v>
      </c>
      <c r="H546" s="1" t="s">
        <v>10</v>
      </c>
      <c r="I546" s="46"/>
      <c r="J546" s="1"/>
      <c r="K546" s="5"/>
      <c r="L546" s="5"/>
      <c r="M546" s="5"/>
    </row>
    <row r="547" spans="1:13">
      <c r="A547" s="13"/>
      <c r="B547" s="46"/>
      <c r="C547" s="1">
        <f t="shared" si="30"/>
        <v>8</v>
      </c>
      <c r="D547" s="5">
        <f t="shared" si="32"/>
        <v>0.40280000000000005</v>
      </c>
      <c r="E547" s="5"/>
      <c r="F547" s="5">
        <f t="shared" si="29"/>
        <v>2.5</v>
      </c>
      <c r="G547" s="4">
        <f t="shared" si="31"/>
        <v>8.0560000000000009</v>
      </c>
      <c r="H547" s="1" t="s">
        <v>10</v>
      </c>
      <c r="I547" s="46"/>
      <c r="J547" s="1"/>
      <c r="K547" s="5"/>
      <c r="L547" s="5"/>
      <c r="M547" s="5"/>
    </row>
    <row r="548" spans="1:13">
      <c r="A548" s="13"/>
      <c r="B548" s="46"/>
      <c r="C548" s="1">
        <f t="shared" si="30"/>
        <v>9</v>
      </c>
      <c r="D548" s="5">
        <f t="shared" si="32"/>
        <v>0.18</v>
      </c>
      <c r="E548" s="5"/>
      <c r="F548" s="5">
        <f t="shared" si="29"/>
        <v>2.5</v>
      </c>
      <c r="G548" s="4">
        <f t="shared" si="31"/>
        <v>4.05</v>
      </c>
      <c r="H548" s="1" t="s">
        <v>10</v>
      </c>
      <c r="I548" s="46"/>
      <c r="J548" s="1"/>
      <c r="K548" s="5"/>
      <c r="L548" s="5"/>
      <c r="M548" s="5"/>
    </row>
    <row r="549" spans="1:13">
      <c r="A549" s="13"/>
      <c r="B549" s="46"/>
      <c r="C549" s="1">
        <f t="shared" si="30"/>
        <v>4</v>
      </c>
      <c r="D549" s="5">
        <f t="shared" si="32"/>
        <v>0.13800000000000001</v>
      </c>
      <c r="E549" s="5"/>
      <c r="F549" s="5">
        <f t="shared" si="29"/>
        <v>2.5</v>
      </c>
      <c r="G549" s="4">
        <f t="shared" si="31"/>
        <v>1.3800000000000001</v>
      </c>
      <c r="H549" s="1" t="s">
        <v>10</v>
      </c>
      <c r="I549" s="46"/>
      <c r="J549" s="1"/>
      <c r="K549" s="5"/>
      <c r="L549" s="5"/>
      <c r="M549" s="5"/>
    </row>
    <row r="550" spans="1:13">
      <c r="A550" s="13"/>
      <c r="B550" s="46" t="str">
        <f>B176</f>
        <v>Above plinth</v>
      </c>
      <c r="C550" s="1">
        <f t="shared" si="30"/>
        <v>36</v>
      </c>
      <c r="D550" s="5">
        <f t="shared" si="32"/>
        <v>0.2888</v>
      </c>
      <c r="E550" s="5"/>
      <c r="F550" s="5">
        <f t="shared" si="29"/>
        <v>4.5</v>
      </c>
      <c r="G550" s="4">
        <f t="shared" si="31"/>
        <v>46.785600000000002</v>
      </c>
      <c r="H550" s="1" t="s">
        <v>10</v>
      </c>
      <c r="I550" s="46"/>
      <c r="J550" s="1"/>
      <c r="K550" s="5"/>
      <c r="L550" s="5"/>
      <c r="M550" s="5"/>
    </row>
    <row r="551" spans="1:13">
      <c r="A551" s="13"/>
      <c r="B551" s="46"/>
      <c r="C551" s="1">
        <f t="shared" si="30"/>
        <v>5</v>
      </c>
      <c r="D551" s="5">
        <f t="shared" si="32"/>
        <v>0.2888</v>
      </c>
      <c r="E551" s="5"/>
      <c r="F551" s="5">
        <f t="shared" si="29"/>
        <v>0.5</v>
      </c>
      <c r="G551" s="4">
        <f t="shared" si="31"/>
        <v>0.72199999999999998</v>
      </c>
      <c r="H551" s="1" t="s">
        <v>10</v>
      </c>
      <c r="I551" s="46"/>
      <c r="J551" s="1"/>
      <c r="K551" s="5"/>
      <c r="L551" s="5"/>
      <c r="M551" s="5"/>
    </row>
    <row r="552" spans="1:13">
      <c r="A552" s="13"/>
      <c r="B552" s="46"/>
      <c r="C552" s="1">
        <f t="shared" si="30"/>
        <v>8</v>
      </c>
      <c r="D552" s="5">
        <f t="shared" si="32"/>
        <v>0.40280000000000005</v>
      </c>
      <c r="E552" s="5"/>
      <c r="F552" s="5">
        <f t="shared" si="29"/>
        <v>7.9</v>
      </c>
      <c r="G552" s="4">
        <f t="shared" si="31"/>
        <v>25.456960000000006</v>
      </c>
      <c r="H552" s="1" t="s">
        <v>10</v>
      </c>
      <c r="I552" s="46"/>
      <c r="J552" s="1"/>
      <c r="K552" s="5"/>
      <c r="L552" s="5"/>
      <c r="M552" s="5"/>
    </row>
    <row r="553" spans="1:13">
      <c r="A553" s="13"/>
      <c r="B553" s="46"/>
      <c r="C553" s="1">
        <f t="shared" si="30"/>
        <v>9</v>
      </c>
      <c r="D553" s="5">
        <f t="shared" si="32"/>
        <v>0.18</v>
      </c>
      <c r="E553" s="5"/>
      <c r="F553" s="5">
        <f t="shared" si="29"/>
        <v>1.8</v>
      </c>
      <c r="G553" s="4">
        <f t="shared" si="31"/>
        <v>2.9159999999999999</v>
      </c>
      <c r="H553" s="1" t="s">
        <v>10</v>
      </c>
      <c r="I553" s="46"/>
      <c r="J553" s="1"/>
      <c r="K553" s="5"/>
      <c r="L553" s="5"/>
      <c r="M553" s="5"/>
    </row>
    <row r="554" spans="1:13">
      <c r="A554" s="13"/>
      <c r="B554" s="46"/>
      <c r="C554" s="1">
        <f t="shared" si="30"/>
        <v>2</v>
      </c>
      <c r="D554" s="5">
        <f t="shared" si="32"/>
        <v>0.13800000000000001</v>
      </c>
      <c r="E554" s="5"/>
      <c r="F554" s="5">
        <f t="shared" si="29"/>
        <v>0.5</v>
      </c>
      <c r="G554" s="4">
        <f t="shared" si="31"/>
        <v>0.13800000000000001</v>
      </c>
      <c r="H554" s="1" t="s">
        <v>10</v>
      </c>
      <c r="I554" s="46"/>
      <c r="J554" s="1"/>
      <c r="K554" s="5"/>
      <c r="L554" s="5"/>
      <c r="M554" s="5"/>
    </row>
    <row r="555" spans="1:13">
      <c r="A555" s="13"/>
      <c r="B555" s="9"/>
      <c r="C555" s="1">
        <f t="shared" si="30"/>
        <v>2</v>
      </c>
      <c r="D555" s="5">
        <f t="shared" si="32"/>
        <v>0.13800000000000001</v>
      </c>
      <c r="E555" s="1"/>
      <c r="F555" s="5">
        <f t="shared" si="29"/>
        <v>4.5</v>
      </c>
      <c r="G555" s="4">
        <f t="shared" si="31"/>
        <v>1.242</v>
      </c>
      <c r="H555" s="1" t="s">
        <v>10</v>
      </c>
      <c r="I555" s="46"/>
      <c r="J555" s="1"/>
      <c r="K555" s="5"/>
      <c r="L555" s="5"/>
      <c r="M555" s="5"/>
    </row>
    <row r="556" spans="1:13">
      <c r="A556" s="13"/>
      <c r="B556" s="9"/>
      <c r="C556" s="1"/>
      <c r="D556" s="5"/>
      <c r="E556" s="1"/>
      <c r="F556" s="1"/>
      <c r="G556" s="4"/>
      <c r="I556" s="9"/>
      <c r="J556" s="18"/>
    </row>
    <row r="557" spans="1:13">
      <c r="A557" s="13"/>
      <c r="B557" s="9"/>
      <c r="C557" s="1"/>
      <c r="D557" s="1"/>
      <c r="E557" s="1"/>
      <c r="F557" s="34" t="s">
        <v>11</v>
      </c>
      <c r="G557" s="53">
        <f>SUM(G543:G556)</f>
        <v>185.35856000000001</v>
      </c>
      <c r="H557" s="50" t="s">
        <v>17</v>
      </c>
      <c r="I557" s="9"/>
      <c r="J557" s="18"/>
    </row>
    <row r="558" spans="1:13">
      <c r="A558" s="13"/>
      <c r="B558" s="9"/>
      <c r="C558" s="1"/>
      <c r="D558" s="1"/>
      <c r="E558" s="1"/>
      <c r="F558" s="56" t="s">
        <v>13</v>
      </c>
      <c r="G558" s="27">
        <f>ROUNDUP(G557,0)</f>
        <v>186</v>
      </c>
      <c r="H558" s="28" t="s">
        <v>17</v>
      </c>
      <c r="I558" s="9"/>
      <c r="J558" s="18"/>
    </row>
    <row r="559" spans="1:13">
      <c r="A559" s="13"/>
      <c r="B559" s="9"/>
      <c r="C559" s="1"/>
      <c r="D559" s="1"/>
      <c r="E559" s="1"/>
      <c r="F559" s="1"/>
      <c r="G559" s="33"/>
      <c r="H559" s="24"/>
      <c r="I559" s="9"/>
      <c r="J559" s="18"/>
    </row>
    <row r="560" spans="1:13">
      <c r="A560" s="18"/>
      <c r="B560" s="15" t="s">
        <v>445</v>
      </c>
      <c r="C560" s="1"/>
      <c r="D560" s="1"/>
      <c r="E560" s="1"/>
      <c r="F560" s="5"/>
      <c r="G560" s="33"/>
      <c r="H560" s="24"/>
      <c r="I560" s="9"/>
      <c r="J560" s="18"/>
    </row>
    <row r="561" spans="1:10">
      <c r="A561" s="13"/>
      <c r="B561" s="46"/>
      <c r="C561" s="1">
        <f>C187</f>
        <v>30</v>
      </c>
      <c r="D561" s="5">
        <f>(D187+E187)*2</f>
        <v>1.52</v>
      </c>
      <c r="E561" s="5"/>
      <c r="F561" s="5">
        <f>F187</f>
        <v>4</v>
      </c>
      <c r="G561" s="4">
        <f>C561*D561*F561</f>
        <v>182.4</v>
      </c>
      <c r="H561" s="1" t="s">
        <v>17</v>
      </c>
      <c r="I561" s="9"/>
      <c r="J561" s="18"/>
    </row>
    <row r="562" spans="1:10">
      <c r="A562" s="13"/>
      <c r="B562" s="46"/>
      <c r="C562" s="1">
        <f>C188</f>
        <v>9</v>
      </c>
      <c r="D562" s="5">
        <f>(D188+E188)*2</f>
        <v>1.2</v>
      </c>
      <c r="E562" s="5"/>
      <c r="F562" s="5">
        <f>F188</f>
        <v>1.8</v>
      </c>
      <c r="G562" s="4">
        <f>C562*D562*F562</f>
        <v>19.439999999999998</v>
      </c>
      <c r="H562" s="1" t="s">
        <v>10</v>
      </c>
      <c r="I562" s="9"/>
      <c r="J562" s="18"/>
    </row>
    <row r="563" spans="1:10">
      <c r="A563" s="13"/>
      <c r="B563" s="46"/>
      <c r="C563" s="1">
        <f>C189</f>
        <v>2</v>
      </c>
      <c r="D563" s="5">
        <f>(D189+E189)*2</f>
        <v>1.06</v>
      </c>
      <c r="E563" s="5"/>
      <c r="F563" s="5">
        <f>F189</f>
        <v>4</v>
      </c>
      <c r="G563" s="4">
        <f>C563*D563*F563</f>
        <v>8.48</v>
      </c>
      <c r="H563" s="1" t="s">
        <v>10</v>
      </c>
      <c r="I563" s="9"/>
      <c r="J563" s="18"/>
    </row>
    <row r="564" spans="1:10">
      <c r="A564" s="13"/>
      <c r="B564" s="9"/>
      <c r="C564" s="1"/>
      <c r="D564" s="5"/>
      <c r="E564" s="1"/>
      <c r="F564" s="1"/>
      <c r="G564" s="4"/>
      <c r="I564" s="9"/>
      <c r="J564" s="18"/>
    </row>
    <row r="565" spans="1:10">
      <c r="A565" s="13"/>
      <c r="B565" s="9"/>
      <c r="C565" s="1"/>
      <c r="D565" s="1"/>
      <c r="E565" s="1"/>
      <c r="F565" s="34" t="s">
        <v>11</v>
      </c>
      <c r="G565" s="53">
        <f>SUM(G561:G564)</f>
        <v>210.32</v>
      </c>
      <c r="H565" s="50" t="s">
        <v>17</v>
      </c>
      <c r="I565" s="9"/>
      <c r="J565" s="18"/>
    </row>
    <row r="566" spans="1:10">
      <c r="A566" s="13"/>
      <c r="B566" s="9"/>
      <c r="C566" s="1"/>
      <c r="D566" s="1"/>
      <c r="E566" s="1"/>
      <c r="F566" s="56" t="s">
        <v>13</v>
      </c>
      <c r="G566" s="27">
        <f>ROUNDUP(G565,0)</f>
        <v>211</v>
      </c>
      <c r="H566" s="28" t="s">
        <v>17</v>
      </c>
      <c r="I566" s="9"/>
      <c r="J566" s="18"/>
    </row>
    <row r="567" spans="1:10">
      <c r="A567" s="13"/>
      <c r="B567" s="9"/>
      <c r="C567" s="1"/>
      <c r="D567" s="1"/>
      <c r="E567" s="1"/>
      <c r="F567" s="1"/>
      <c r="G567" s="33"/>
      <c r="H567" s="24"/>
      <c r="I567" s="9"/>
      <c r="J567" s="18"/>
    </row>
    <row r="568" spans="1:10">
      <c r="A568" s="13"/>
      <c r="B568" s="15" t="s">
        <v>57</v>
      </c>
      <c r="C568" s="1"/>
      <c r="D568" s="1"/>
      <c r="E568" s="1"/>
      <c r="F568" s="5"/>
      <c r="G568" s="33"/>
      <c r="H568" s="24"/>
      <c r="I568" s="9"/>
      <c r="J568" s="18"/>
    </row>
    <row r="569" spans="1:10">
      <c r="A569" s="13"/>
      <c r="B569" s="1"/>
      <c r="C569" s="1">
        <f>C195</f>
        <v>20</v>
      </c>
      <c r="D569" s="5">
        <f>(D195+E195)*2</f>
        <v>1.52</v>
      </c>
      <c r="E569" s="5"/>
      <c r="F569" s="5">
        <f>F195</f>
        <v>4.4000000000000004</v>
      </c>
      <c r="G569" s="4">
        <f>C569*D569*F569</f>
        <v>133.76</v>
      </c>
      <c r="H569" s="1" t="s">
        <v>17</v>
      </c>
      <c r="I569" s="9"/>
      <c r="J569" s="18"/>
    </row>
    <row r="570" spans="1:10">
      <c r="A570" s="13"/>
      <c r="B570" s="9"/>
      <c r="C570" s="1"/>
      <c r="D570" s="1"/>
      <c r="E570" s="1"/>
      <c r="F570" s="56" t="s">
        <v>13</v>
      </c>
      <c r="G570" s="27">
        <f>ROUNDUP(G569,0)</f>
        <v>134</v>
      </c>
      <c r="H570" s="28" t="s">
        <v>17</v>
      </c>
      <c r="I570" s="9"/>
      <c r="J570" s="18"/>
    </row>
    <row r="571" spans="1:10">
      <c r="A571" s="13"/>
      <c r="B571" s="9"/>
      <c r="C571" s="1"/>
      <c r="D571" s="1"/>
      <c r="E571" s="1"/>
      <c r="F571" s="1"/>
      <c r="G571" s="33"/>
      <c r="H571" s="24"/>
      <c r="I571" s="9"/>
      <c r="J571" s="18"/>
    </row>
    <row r="572" spans="1:10">
      <c r="A572" s="13"/>
      <c r="B572" s="9"/>
      <c r="C572" s="1"/>
      <c r="D572" s="1"/>
      <c r="E572" s="1"/>
      <c r="F572" s="1"/>
      <c r="G572" s="33"/>
      <c r="H572" s="24"/>
      <c r="I572" s="9"/>
      <c r="J572" s="18"/>
    </row>
    <row r="573" spans="1:10">
      <c r="A573" s="13"/>
      <c r="B573" s="15" t="s">
        <v>463</v>
      </c>
      <c r="C573" s="1"/>
      <c r="D573" s="1"/>
      <c r="E573" s="1"/>
      <c r="F573" s="5"/>
      <c r="G573" s="33"/>
      <c r="H573" s="24"/>
      <c r="I573" s="9"/>
      <c r="J573" s="18"/>
    </row>
    <row r="574" spans="1:10">
      <c r="A574" s="13"/>
      <c r="B574" s="46" t="str">
        <f t="shared" ref="B574:C576" si="33">B199</f>
        <v>OH Tank</v>
      </c>
      <c r="C574" s="46">
        <f t="shared" si="33"/>
        <v>6</v>
      </c>
      <c r="D574" s="5">
        <f>(D199+E199)*2</f>
        <v>1.52</v>
      </c>
      <c r="E574" s="5"/>
      <c r="F574" s="5">
        <f>F199</f>
        <v>3</v>
      </c>
      <c r="G574" s="4">
        <f>C574*D574*F574</f>
        <v>27.360000000000003</v>
      </c>
      <c r="H574" s="1" t="s">
        <v>17</v>
      </c>
      <c r="I574" s="9"/>
      <c r="J574" s="18"/>
    </row>
    <row r="575" spans="1:10">
      <c r="A575" s="13"/>
      <c r="B575" s="46" t="str">
        <f t="shared" si="33"/>
        <v>Fire Tank &amp; Raw Water Tank</v>
      </c>
      <c r="C575" s="46">
        <f t="shared" si="33"/>
        <v>4</v>
      </c>
      <c r="D575" s="5">
        <f>(D200+E200)*2</f>
        <v>1.52</v>
      </c>
      <c r="E575" s="5"/>
      <c r="F575" s="5">
        <f>F200</f>
        <v>2.9000000000000004</v>
      </c>
      <c r="G575" s="4">
        <f>C575*D575*F575</f>
        <v>17.632000000000001</v>
      </c>
      <c r="H575" s="1" t="s">
        <v>10</v>
      </c>
      <c r="I575" s="9"/>
      <c r="J575" s="18"/>
    </row>
    <row r="576" spans="1:10">
      <c r="A576" s="13"/>
      <c r="B576" s="46" t="str">
        <f t="shared" si="33"/>
        <v>Head Room</v>
      </c>
      <c r="C576" s="46">
        <f t="shared" si="33"/>
        <v>4</v>
      </c>
      <c r="D576" s="5">
        <f>(D201+E201)*2</f>
        <v>1.52</v>
      </c>
      <c r="E576" s="1"/>
      <c r="F576" s="5">
        <f>F201</f>
        <v>3.65</v>
      </c>
      <c r="G576" s="4">
        <f>C576*D576*F576</f>
        <v>22.192</v>
      </c>
      <c r="H576" s="1" t="s">
        <v>10</v>
      </c>
      <c r="I576" s="9"/>
      <c r="J576" s="18"/>
    </row>
    <row r="577" spans="1:14">
      <c r="A577" s="13"/>
      <c r="B577" s="46"/>
      <c r="C577" s="46"/>
      <c r="D577" s="5"/>
      <c r="E577" s="1"/>
      <c r="F577" s="5"/>
      <c r="G577" s="4"/>
      <c r="H577" s="1"/>
      <c r="I577" s="9"/>
      <c r="J577" s="18"/>
    </row>
    <row r="578" spans="1:14">
      <c r="A578" s="13"/>
      <c r="B578" s="9"/>
      <c r="C578" s="1"/>
      <c r="D578" s="1"/>
      <c r="E578" s="1"/>
      <c r="F578" s="34" t="s">
        <v>11</v>
      </c>
      <c r="G578" s="53">
        <f>SUM(G574:G577)</f>
        <v>67.183999999999997</v>
      </c>
      <c r="H578" s="50" t="s">
        <v>17</v>
      </c>
      <c r="I578" s="9"/>
      <c r="J578" s="18"/>
    </row>
    <row r="579" spans="1:14">
      <c r="A579" s="13"/>
      <c r="B579" s="9"/>
      <c r="C579" s="1"/>
      <c r="D579" s="1"/>
      <c r="E579" s="1"/>
      <c r="F579" s="56" t="s">
        <v>13</v>
      </c>
      <c r="G579" s="27">
        <f>ROUNDUP(G578,0)</f>
        <v>68</v>
      </c>
      <c r="H579" s="28" t="s">
        <v>17</v>
      </c>
      <c r="I579" s="9"/>
      <c r="J579" s="18"/>
    </row>
    <row r="580" spans="1:14">
      <c r="A580" s="13"/>
      <c r="B580" s="9"/>
      <c r="C580" s="1"/>
      <c r="D580" s="1"/>
      <c r="E580" s="1"/>
      <c r="F580" s="1"/>
      <c r="G580" s="33"/>
      <c r="H580" s="24"/>
      <c r="I580" s="9"/>
      <c r="J580" s="18"/>
    </row>
    <row r="581" spans="1:14">
      <c r="A581" s="18">
        <f>A541+1</f>
        <v>20</v>
      </c>
      <c r="B581" s="9" t="s">
        <v>91</v>
      </c>
      <c r="C581" s="1"/>
      <c r="D581" s="1"/>
      <c r="E581" s="1"/>
      <c r="F581" s="1"/>
      <c r="G581" s="33"/>
      <c r="H581" s="24"/>
      <c r="I581" s="9"/>
      <c r="J581" s="18"/>
    </row>
    <row r="582" spans="1:14">
      <c r="A582" s="13"/>
      <c r="B582" s="46" t="str">
        <f t="shared" ref="B582:D600" si="34">B207</f>
        <v>Y1-Y2</v>
      </c>
      <c r="C582" s="1">
        <f t="shared" si="34"/>
        <v>7</v>
      </c>
      <c r="D582" s="5">
        <f t="shared" si="34"/>
        <v>5.2</v>
      </c>
      <c r="E582" s="5"/>
      <c r="F582" s="5">
        <f t="shared" ref="F582:F600" si="35">F207*2</f>
        <v>0.9</v>
      </c>
      <c r="G582" s="4">
        <f>C582*D582*F582</f>
        <v>32.76</v>
      </c>
      <c r="H582" s="1" t="s">
        <v>17</v>
      </c>
      <c r="I582" s="9"/>
      <c r="J582" s="46"/>
      <c r="K582" s="1"/>
      <c r="L582" s="5"/>
      <c r="M582" s="5"/>
      <c r="N582" s="5"/>
    </row>
    <row r="583" spans="1:14">
      <c r="A583" s="13"/>
      <c r="B583" s="46" t="str">
        <f t="shared" si="34"/>
        <v>Y2-Y3</v>
      </c>
      <c r="C583" s="1">
        <f t="shared" si="34"/>
        <v>7</v>
      </c>
      <c r="D583" s="5">
        <f t="shared" si="34"/>
        <v>5.2</v>
      </c>
      <c r="E583" s="5"/>
      <c r="F583" s="5">
        <f t="shared" si="35"/>
        <v>0.9</v>
      </c>
      <c r="G583" s="4">
        <f t="shared" ref="G583:G600" si="36">C583*D583*F583</f>
        <v>32.76</v>
      </c>
      <c r="H583" s="1" t="s">
        <v>10</v>
      </c>
      <c r="I583" s="9"/>
      <c r="J583" s="46"/>
      <c r="K583" s="1"/>
      <c r="L583" s="5"/>
      <c r="M583" s="5"/>
      <c r="N583" s="5"/>
    </row>
    <row r="584" spans="1:14">
      <c r="A584" s="13"/>
      <c r="B584" s="46" t="str">
        <f t="shared" si="34"/>
        <v>Y3-Y4</v>
      </c>
      <c r="C584" s="1">
        <f t="shared" si="34"/>
        <v>6</v>
      </c>
      <c r="D584" s="5">
        <f t="shared" si="34"/>
        <v>5.2</v>
      </c>
      <c r="E584" s="1"/>
      <c r="F584" s="5">
        <f t="shared" si="35"/>
        <v>0.9</v>
      </c>
      <c r="G584" s="4">
        <f t="shared" si="36"/>
        <v>28.080000000000002</v>
      </c>
      <c r="H584" s="1" t="s">
        <v>10</v>
      </c>
      <c r="I584" s="9"/>
      <c r="J584" s="46"/>
      <c r="K584" s="1"/>
      <c r="L584" s="5"/>
      <c r="M584" s="5"/>
      <c r="N584" s="5"/>
    </row>
    <row r="585" spans="1:14">
      <c r="A585" s="13"/>
      <c r="B585" s="46" t="str">
        <f t="shared" si="34"/>
        <v>Y4-Y5</v>
      </c>
      <c r="C585" s="1">
        <f t="shared" si="34"/>
        <v>9</v>
      </c>
      <c r="D585" s="5">
        <f t="shared" si="34"/>
        <v>3</v>
      </c>
      <c r="E585" s="1"/>
      <c r="F585" s="5">
        <f t="shared" si="35"/>
        <v>0.9</v>
      </c>
      <c r="G585" s="4">
        <f t="shared" si="36"/>
        <v>24.3</v>
      </c>
      <c r="H585" s="1" t="s">
        <v>10</v>
      </c>
      <c r="I585" s="9"/>
      <c r="J585" s="46"/>
      <c r="K585" s="1"/>
      <c r="L585" s="5"/>
      <c r="M585" s="5"/>
      <c r="N585" s="5"/>
    </row>
    <row r="586" spans="1:14">
      <c r="A586" s="13"/>
      <c r="B586" s="46" t="str">
        <f t="shared" si="34"/>
        <v>Y5-Y6</v>
      </c>
      <c r="C586" s="1">
        <f t="shared" si="34"/>
        <v>6</v>
      </c>
      <c r="D586" s="5">
        <f t="shared" si="34"/>
        <v>2.2000000000000002</v>
      </c>
      <c r="E586" s="1"/>
      <c r="F586" s="5">
        <f t="shared" si="35"/>
        <v>0.9</v>
      </c>
      <c r="G586" s="4">
        <f t="shared" si="36"/>
        <v>11.88</v>
      </c>
      <c r="H586" s="1" t="s">
        <v>10</v>
      </c>
      <c r="I586" s="9"/>
      <c r="J586" s="46"/>
      <c r="K586" s="1"/>
      <c r="L586" s="5"/>
      <c r="M586" s="5"/>
      <c r="N586" s="5"/>
    </row>
    <row r="587" spans="1:14">
      <c r="A587" s="13"/>
      <c r="B587" s="46" t="str">
        <f t="shared" si="34"/>
        <v>Y6-Y7</v>
      </c>
      <c r="C587" s="1">
        <f t="shared" si="34"/>
        <v>5</v>
      </c>
      <c r="D587" s="5">
        <f t="shared" si="34"/>
        <v>5.2</v>
      </c>
      <c r="E587" s="1"/>
      <c r="F587" s="5">
        <f t="shared" si="35"/>
        <v>0.9</v>
      </c>
      <c r="G587" s="4">
        <f t="shared" si="36"/>
        <v>23.400000000000002</v>
      </c>
      <c r="H587" s="1" t="s">
        <v>10</v>
      </c>
      <c r="I587" s="9"/>
      <c r="J587" s="46"/>
      <c r="K587" s="1"/>
      <c r="L587" s="5"/>
      <c r="M587" s="5"/>
      <c r="N587" s="5"/>
    </row>
    <row r="588" spans="1:14">
      <c r="A588" s="13"/>
      <c r="B588" s="46" t="str">
        <f t="shared" si="34"/>
        <v>Y7-Y8</v>
      </c>
      <c r="C588" s="1">
        <f t="shared" si="34"/>
        <v>5</v>
      </c>
      <c r="D588" s="5">
        <f t="shared" si="34"/>
        <v>2.5</v>
      </c>
      <c r="E588" s="1"/>
      <c r="F588" s="5">
        <f t="shared" si="35"/>
        <v>0.9</v>
      </c>
      <c r="G588" s="4">
        <f t="shared" si="36"/>
        <v>11.25</v>
      </c>
      <c r="H588" s="1" t="s">
        <v>10</v>
      </c>
      <c r="I588" s="9"/>
      <c r="J588" s="46"/>
      <c r="K588" s="1"/>
      <c r="L588" s="5"/>
      <c r="M588" s="5"/>
      <c r="N588" s="5"/>
    </row>
    <row r="589" spans="1:14">
      <c r="A589" s="13"/>
      <c r="B589" s="46" t="str">
        <f t="shared" si="34"/>
        <v>Y8-Y9</v>
      </c>
      <c r="C589" s="1">
        <f t="shared" si="34"/>
        <v>5</v>
      </c>
      <c r="D589" s="5">
        <f t="shared" si="34"/>
        <v>2.5</v>
      </c>
      <c r="E589" s="1"/>
      <c r="F589" s="5">
        <f t="shared" si="35"/>
        <v>0.9</v>
      </c>
      <c r="G589" s="4">
        <f t="shared" si="36"/>
        <v>11.25</v>
      </c>
      <c r="H589" s="1" t="s">
        <v>10</v>
      </c>
      <c r="I589" s="9"/>
      <c r="J589" s="46"/>
      <c r="K589" s="1"/>
      <c r="L589" s="5"/>
      <c r="M589" s="5"/>
      <c r="N589" s="5"/>
    </row>
    <row r="590" spans="1:14">
      <c r="A590" s="13"/>
      <c r="B590" s="46" t="str">
        <f t="shared" si="34"/>
        <v>Y9-Y10</v>
      </c>
      <c r="C590" s="1">
        <f t="shared" si="34"/>
        <v>7</v>
      </c>
      <c r="D590" s="5">
        <f t="shared" si="34"/>
        <v>5</v>
      </c>
      <c r="E590" s="1"/>
      <c r="F590" s="5">
        <f t="shared" si="35"/>
        <v>0.9</v>
      </c>
      <c r="G590" s="4">
        <f t="shared" si="36"/>
        <v>31.5</v>
      </c>
      <c r="H590" s="1" t="s">
        <v>10</v>
      </c>
      <c r="I590" s="9"/>
      <c r="J590" s="46"/>
      <c r="K590" s="1"/>
      <c r="L590" s="5"/>
      <c r="M590" s="5"/>
      <c r="N590" s="5"/>
    </row>
    <row r="591" spans="1:14">
      <c r="A591" s="13"/>
      <c r="B591" s="46" t="str">
        <f t="shared" si="34"/>
        <v>Y10-Y11</v>
      </c>
      <c r="C591" s="1">
        <f t="shared" si="34"/>
        <v>8</v>
      </c>
      <c r="D591" s="5">
        <f t="shared" si="34"/>
        <v>5</v>
      </c>
      <c r="E591" s="1"/>
      <c r="F591" s="5">
        <f t="shared" si="35"/>
        <v>0.9</v>
      </c>
      <c r="G591" s="4">
        <f t="shared" si="36"/>
        <v>36</v>
      </c>
      <c r="H591" s="1" t="s">
        <v>10</v>
      </c>
      <c r="I591" s="9"/>
      <c r="J591" s="46"/>
      <c r="K591" s="1"/>
      <c r="L591" s="5"/>
      <c r="M591" s="5"/>
      <c r="N591" s="5"/>
    </row>
    <row r="592" spans="1:14">
      <c r="A592" s="13"/>
      <c r="B592" s="46" t="str">
        <f t="shared" si="34"/>
        <v>X1-X2</v>
      </c>
      <c r="C592" s="1">
        <f t="shared" si="34"/>
        <v>4</v>
      </c>
      <c r="D592" s="5">
        <f t="shared" si="34"/>
        <v>0.79</v>
      </c>
      <c r="E592" s="1"/>
      <c r="F592" s="5">
        <f t="shared" si="35"/>
        <v>0.9</v>
      </c>
      <c r="G592" s="4">
        <f t="shared" si="36"/>
        <v>2.8440000000000003</v>
      </c>
      <c r="H592" s="1" t="s">
        <v>10</v>
      </c>
      <c r="I592" s="9"/>
      <c r="J592" s="46"/>
      <c r="K592" s="1"/>
      <c r="L592" s="5"/>
      <c r="M592" s="5"/>
      <c r="N592" s="5"/>
    </row>
    <row r="593" spans="1:14">
      <c r="A593" s="13"/>
      <c r="B593" s="46" t="str">
        <f t="shared" si="34"/>
        <v>X2-X3</v>
      </c>
      <c r="C593" s="1">
        <f t="shared" si="34"/>
        <v>4</v>
      </c>
      <c r="D593" s="5">
        <f t="shared" si="34"/>
        <v>1.2</v>
      </c>
      <c r="E593" s="1"/>
      <c r="F593" s="5">
        <f t="shared" si="35"/>
        <v>0.9</v>
      </c>
      <c r="G593" s="4">
        <f t="shared" si="36"/>
        <v>4.32</v>
      </c>
      <c r="H593" s="1" t="s">
        <v>10</v>
      </c>
      <c r="I593" s="9"/>
      <c r="J593" s="46"/>
      <c r="K593" s="1"/>
      <c r="L593" s="5"/>
      <c r="M593" s="5"/>
      <c r="N593" s="5"/>
    </row>
    <row r="594" spans="1:14">
      <c r="A594" s="13"/>
      <c r="B594" s="46" t="str">
        <f t="shared" si="34"/>
        <v>X3-X4</v>
      </c>
      <c r="C594" s="1">
        <f t="shared" si="34"/>
        <v>12</v>
      </c>
      <c r="D594" s="5">
        <f t="shared" si="34"/>
        <v>4.5</v>
      </c>
      <c r="E594" s="1"/>
      <c r="F594" s="5">
        <f t="shared" si="35"/>
        <v>0.9</v>
      </c>
      <c r="G594" s="4">
        <f t="shared" si="36"/>
        <v>48.6</v>
      </c>
      <c r="H594" s="1" t="s">
        <v>10</v>
      </c>
      <c r="I594" s="9"/>
      <c r="J594" s="46"/>
      <c r="K594" s="1"/>
      <c r="L594" s="5"/>
      <c r="M594" s="5"/>
      <c r="N594" s="5"/>
    </row>
    <row r="595" spans="1:14">
      <c r="A595" s="13"/>
      <c r="B595" s="46" t="str">
        <f t="shared" si="34"/>
        <v>X4-X5</v>
      </c>
      <c r="C595" s="1">
        <f t="shared" si="34"/>
        <v>13</v>
      </c>
      <c r="D595" s="5">
        <f t="shared" si="34"/>
        <v>4.5</v>
      </c>
      <c r="E595" s="1"/>
      <c r="F595" s="5">
        <f t="shared" si="35"/>
        <v>0.9</v>
      </c>
      <c r="G595" s="4">
        <f t="shared" si="36"/>
        <v>52.65</v>
      </c>
      <c r="H595" s="1" t="s">
        <v>10</v>
      </c>
      <c r="I595" s="9"/>
      <c r="J595" s="46"/>
      <c r="K595" s="1"/>
      <c r="L595" s="5"/>
      <c r="M595" s="5"/>
      <c r="N595" s="5"/>
    </row>
    <row r="596" spans="1:14">
      <c r="A596" s="13"/>
      <c r="B596" s="46" t="str">
        <f t="shared" si="34"/>
        <v>X5-X6</v>
      </c>
      <c r="C596" s="1">
        <f t="shared" si="34"/>
        <v>10</v>
      </c>
      <c r="D596" s="5">
        <f t="shared" si="34"/>
        <v>2.5</v>
      </c>
      <c r="E596" s="1"/>
      <c r="F596" s="5">
        <f t="shared" si="35"/>
        <v>0.9</v>
      </c>
      <c r="G596" s="4">
        <f t="shared" si="36"/>
        <v>22.5</v>
      </c>
      <c r="H596" s="1" t="s">
        <v>10</v>
      </c>
      <c r="I596" s="9"/>
      <c r="J596" s="46"/>
      <c r="K596" s="1"/>
      <c r="L596" s="5"/>
      <c r="M596" s="5"/>
      <c r="N596" s="5"/>
    </row>
    <row r="597" spans="1:14">
      <c r="A597" s="13"/>
      <c r="B597" s="46" t="str">
        <f t="shared" si="34"/>
        <v>X6-X7</v>
      </c>
      <c r="C597" s="1">
        <f t="shared" si="34"/>
        <v>10</v>
      </c>
      <c r="D597" s="5">
        <f t="shared" si="34"/>
        <v>2.5</v>
      </c>
      <c r="E597" s="1"/>
      <c r="F597" s="5">
        <f t="shared" si="35"/>
        <v>0.9</v>
      </c>
      <c r="G597" s="4">
        <f t="shared" si="36"/>
        <v>22.5</v>
      </c>
      <c r="H597" s="1" t="s">
        <v>10</v>
      </c>
      <c r="I597" s="9"/>
      <c r="J597" s="46"/>
      <c r="K597" s="1"/>
      <c r="L597" s="5"/>
      <c r="M597" s="5"/>
      <c r="N597" s="5"/>
    </row>
    <row r="598" spans="1:14">
      <c r="A598" s="13"/>
      <c r="B598" s="46" t="str">
        <f t="shared" si="34"/>
        <v>X7-X8</v>
      </c>
      <c r="C598" s="1">
        <f t="shared" si="34"/>
        <v>9</v>
      </c>
      <c r="D598" s="5">
        <f t="shared" si="34"/>
        <v>1.25</v>
      </c>
      <c r="E598" s="1"/>
      <c r="F598" s="5">
        <f t="shared" si="35"/>
        <v>0.9</v>
      </c>
      <c r="G598" s="4">
        <f t="shared" si="36"/>
        <v>10.125</v>
      </c>
      <c r="H598" s="1" t="s">
        <v>10</v>
      </c>
      <c r="I598" s="9"/>
      <c r="J598" s="46"/>
      <c r="K598" s="1"/>
      <c r="L598" s="5"/>
      <c r="M598" s="5"/>
      <c r="N598" s="5"/>
    </row>
    <row r="599" spans="1:14">
      <c r="A599" s="13"/>
      <c r="B599" s="46" t="str">
        <f t="shared" si="34"/>
        <v>X8-X9</v>
      </c>
      <c r="C599" s="1">
        <f t="shared" si="34"/>
        <v>9</v>
      </c>
      <c r="D599" s="5">
        <f t="shared" si="34"/>
        <v>3.75</v>
      </c>
      <c r="E599" s="1"/>
      <c r="F599" s="5">
        <f t="shared" si="35"/>
        <v>0.9</v>
      </c>
      <c r="G599" s="4">
        <f t="shared" si="36"/>
        <v>30.375</v>
      </c>
      <c r="H599" s="1" t="s">
        <v>10</v>
      </c>
      <c r="I599" s="9"/>
      <c r="J599" s="46"/>
      <c r="K599" s="1"/>
      <c r="L599" s="5"/>
      <c r="M599" s="5"/>
      <c r="N599" s="5"/>
    </row>
    <row r="600" spans="1:14">
      <c r="A600" s="13"/>
      <c r="B600" s="46" t="str">
        <f t="shared" si="34"/>
        <v>X9-X10</v>
      </c>
      <c r="C600" s="1">
        <f t="shared" si="34"/>
        <v>9</v>
      </c>
      <c r="D600" s="5">
        <f t="shared" si="34"/>
        <v>3.5</v>
      </c>
      <c r="E600" s="1"/>
      <c r="F600" s="5">
        <f t="shared" si="35"/>
        <v>0.9</v>
      </c>
      <c r="G600" s="4">
        <f t="shared" si="36"/>
        <v>28.35</v>
      </c>
      <c r="H600" s="1" t="s">
        <v>10</v>
      </c>
      <c r="I600" s="9"/>
      <c r="J600" s="46"/>
      <c r="K600" s="1"/>
      <c r="L600" s="5"/>
      <c r="M600" s="5"/>
      <c r="N600" s="5"/>
    </row>
    <row r="601" spans="1:14">
      <c r="A601" s="13"/>
      <c r="B601" s="9"/>
      <c r="C601" s="1"/>
      <c r="D601" s="1"/>
      <c r="E601" s="1"/>
      <c r="F601" s="1"/>
      <c r="G601" s="33"/>
      <c r="H601" s="24"/>
      <c r="I601" s="9"/>
      <c r="J601" s="18"/>
    </row>
    <row r="602" spans="1:14">
      <c r="A602" s="13"/>
      <c r="B602" s="9"/>
      <c r="C602" s="1"/>
      <c r="D602" s="1"/>
      <c r="E602" s="1"/>
      <c r="F602" s="34" t="s">
        <v>11</v>
      </c>
      <c r="G602" s="53">
        <f>SUM(G582:G601)</f>
        <v>465.44400000000002</v>
      </c>
      <c r="H602" s="50" t="s">
        <v>17</v>
      </c>
      <c r="I602" s="9"/>
      <c r="J602" s="18"/>
    </row>
    <row r="603" spans="1:14">
      <c r="A603" s="13"/>
      <c r="B603" s="9"/>
      <c r="C603" s="1"/>
      <c r="D603" s="1"/>
      <c r="E603" s="1"/>
      <c r="F603" s="56" t="s">
        <v>13</v>
      </c>
      <c r="G603" s="27">
        <f>ROUNDUP(G602,0)</f>
        <v>466</v>
      </c>
      <c r="H603" s="28" t="s">
        <v>17</v>
      </c>
      <c r="I603" s="9"/>
      <c r="J603" s="18"/>
    </row>
    <row r="604" spans="1:14">
      <c r="A604" s="13"/>
      <c r="B604" s="9"/>
      <c r="C604" s="1"/>
      <c r="D604" s="1"/>
      <c r="E604" s="1"/>
      <c r="F604" s="1"/>
      <c r="G604" s="33"/>
      <c r="H604" s="24"/>
      <c r="I604" s="9"/>
      <c r="J604" s="18"/>
    </row>
    <row r="605" spans="1:14">
      <c r="A605" s="18">
        <f>A581+1</f>
        <v>21</v>
      </c>
      <c r="B605" s="8" t="s">
        <v>58</v>
      </c>
      <c r="C605" s="1"/>
      <c r="D605" s="1"/>
      <c r="E605" s="1"/>
      <c r="F605" s="5"/>
      <c r="G605" s="33"/>
      <c r="H605" s="1"/>
      <c r="I605" s="9"/>
      <c r="J605" s="18"/>
    </row>
    <row r="606" spans="1:14">
      <c r="A606" s="13"/>
      <c r="B606" s="15" t="s">
        <v>56</v>
      </c>
      <c r="C606" s="1"/>
      <c r="D606" s="5"/>
      <c r="E606" s="5"/>
      <c r="F606" s="5"/>
      <c r="G606" s="4"/>
      <c r="H606" s="1"/>
      <c r="I606" s="9"/>
      <c r="J606" s="18"/>
    </row>
    <row r="607" spans="1:14">
      <c r="A607" s="13"/>
      <c r="B607" s="46" t="str">
        <f>B232</f>
        <v xml:space="preserve">   @ 2.150m Lvl</v>
      </c>
      <c r="C607" s="1"/>
      <c r="D607" s="5"/>
      <c r="E607" s="5"/>
      <c r="F607" s="5"/>
      <c r="G607" s="4"/>
      <c r="H607" s="1"/>
      <c r="I607" s="9"/>
      <c r="J607" s="46"/>
      <c r="K607" s="1"/>
      <c r="L607" s="5"/>
      <c r="M607" s="1"/>
      <c r="N607" s="5"/>
    </row>
    <row r="608" spans="1:14">
      <c r="A608" s="13"/>
      <c r="B608" s="46"/>
      <c r="C608" s="1">
        <f t="shared" ref="C608:D612" si="37">C233</f>
        <v>7</v>
      </c>
      <c r="D608" s="5">
        <f t="shared" si="37"/>
        <v>5</v>
      </c>
      <c r="E608" s="5"/>
      <c r="F608" s="5">
        <f>(F233*2)+0.23</f>
        <v>1.1300000000000001</v>
      </c>
      <c r="G608" s="4">
        <f>C608*D608*F608</f>
        <v>39.550000000000004</v>
      </c>
      <c r="H608" s="1" t="s">
        <v>17</v>
      </c>
      <c r="I608" s="9"/>
      <c r="J608" s="31"/>
      <c r="K608" s="1"/>
      <c r="L608" s="5"/>
      <c r="M608" s="5"/>
      <c r="N608" s="5"/>
    </row>
    <row r="609" spans="1:14">
      <c r="A609" s="13"/>
      <c r="B609" s="46"/>
      <c r="C609" s="1">
        <f t="shared" si="37"/>
        <v>2</v>
      </c>
      <c r="D609" s="5">
        <f t="shared" si="37"/>
        <v>2.6</v>
      </c>
      <c r="E609" s="5"/>
      <c r="F609" s="5">
        <f>(F234*2)+0.23</f>
        <v>1.43</v>
      </c>
      <c r="G609" s="4">
        <f>C609*D609*F609</f>
        <v>7.4359999999999999</v>
      </c>
      <c r="H609" s="1" t="s">
        <v>10</v>
      </c>
      <c r="I609" s="9"/>
      <c r="J609" s="46"/>
      <c r="K609" s="1"/>
      <c r="L609" s="5"/>
      <c r="M609" s="5"/>
      <c r="N609" s="5"/>
    </row>
    <row r="610" spans="1:14">
      <c r="A610" s="13"/>
      <c r="B610" s="46"/>
      <c r="C610" s="1">
        <f t="shared" si="37"/>
        <v>2</v>
      </c>
      <c r="D610" s="5">
        <f t="shared" si="37"/>
        <v>28.73</v>
      </c>
      <c r="E610" s="5"/>
      <c r="F610" s="5">
        <f>(F235*2)+0.23</f>
        <v>1.43</v>
      </c>
      <c r="G610" s="4">
        <f>C610*D610*F610</f>
        <v>82.1678</v>
      </c>
      <c r="H610" s="1" t="s">
        <v>10</v>
      </c>
      <c r="I610" s="9"/>
      <c r="J610" s="46"/>
      <c r="K610" s="1"/>
      <c r="L610" s="5"/>
      <c r="M610" s="5"/>
      <c r="N610" s="5"/>
    </row>
    <row r="611" spans="1:14">
      <c r="A611" s="13"/>
      <c r="B611" s="46"/>
      <c r="C611" s="1">
        <f t="shared" si="37"/>
        <v>1</v>
      </c>
      <c r="D611" s="5">
        <f t="shared" si="37"/>
        <v>3.7</v>
      </c>
      <c r="E611" s="5"/>
      <c r="F611" s="5">
        <f>(F236*2)+0.23</f>
        <v>1.43</v>
      </c>
      <c r="G611" s="4">
        <f>C611*D611*F611</f>
        <v>5.2910000000000004</v>
      </c>
      <c r="H611" s="1" t="s">
        <v>10</v>
      </c>
      <c r="I611" s="9"/>
      <c r="J611" s="46"/>
      <c r="K611" s="1"/>
      <c r="L611" s="5"/>
      <c r="M611" s="5"/>
      <c r="N611" s="5"/>
    </row>
    <row r="612" spans="1:14">
      <c r="A612" s="13"/>
      <c r="B612" s="46"/>
      <c r="C612" s="1">
        <f t="shared" si="37"/>
        <v>1</v>
      </c>
      <c r="D612" s="5">
        <f t="shared" si="37"/>
        <v>3.2</v>
      </c>
      <c r="E612" s="5"/>
      <c r="F612" s="5">
        <f>(F237*2)+0.23</f>
        <v>1.43</v>
      </c>
      <c r="G612" s="4">
        <f>C612*D612*F612</f>
        <v>4.5759999999999996</v>
      </c>
      <c r="H612" s="1" t="s">
        <v>10</v>
      </c>
      <c r="I612" s="9"/>
      <c r="J612" s="46"/>
      <c r="K612" s="1"/>
      <c r="L612" s="5"/>
      <c r="M612" s="5"/>
      <c r="N612" s="5"/>
    </row>
    <row r="613" spans="1:14">
      <c r="A613" s="13"/>
      <c r="B613" s="46" t="str">
        <f>B238</f>
        <v xml:space="preserve">   @ 4.80 m Lvl</v>
      </c>
      <c r="C613" s="1"/>
      <c r="D613" s="5"/>
      <c r="E613" s="5"/>
      <c r="F613" s="5"/>
      <c r="G613" s="4"/>
      <c r="H613" s="1"/>
      <c r="I613" s="9"/>
      <c r="J613" s="46"/>
      <c r="K613" s="1"/>
      <c r="L613" s="5"/>
      <c r="M613" s="5"/>
      <c r="N613" s="5"/>
    </row>
    <row r="614" spans="1:14">
      <c r="A614" s="13"/>
      <c r="B614" s="46" t="str">
        <f>B239</f>
        <v>Y1-Y2</v>
      </c>
      <c r="C614" s="1">
        <f t="shared" ref="C614:D634" si="38">C239</f>
        <v>4</v>
      </c>
      <c r="D614" s="5">
        <f t="shared" si="38"/>
        <v>5.2</v>
      </c>
      <c r="E614" s="5"/>
      <c r="F614" s="5">
        <f t="shared" ref="F614:F634" si="39">(F239*2)+0.23</f>
        <v>1.43</v>
      </c>
      <c r="G614" s="4">
        <f>C614*D614*F614</f>
        <v>29.744</v>
      </c>
      <c r="H614" s="1" t="s">
        <v>10</v>
      </c>
      <c r="I614" s="9"/>
      <c r="J614" s="46"/>
      <c r="K614" s="1"/>
      <c r="L614" s="5"/>
      <c r="M614" s="5"/>
      <c r="N614" s="5"/>
    </row>
    <row r="615" spans="1:14">
      <c r="A615" s="13"/>
      <c r="B615" s="46" t="str">
        <f>B240</f>
        <v>Y2-Y3</v>
      </c>
      <c r="C615" s="1">
        <f t="shared" si="38"/>
        <v>4</v>
      </c>
      <c r="D615" s="5">
        <f t="shared" si="38"/>
        <v>5.2</v>
      </c>
      <c r="E615" s="5"/>
      <c r="F615" s="5">
        <f t="shared" si="39"/>
        <v>1.43</v>
      </c>
      <c r="G615" s="4">
        <f t="shared" ref="G615:G634" si="40">C615*D615*F615</f>
        <v>29.744</v>
      </c>
      <c r="H615" s="1" t="s">
        <v>10</v>
      </c>
      <c r="I615" s="9"/>
      <c r="J615" s="46"/>
      <c r="K615" s="1"/>
      <c r="L615" s="5"/>
      <c r="M615" s="5"/>
      <c r="N615" s="5"/>
    </row>
    <row r="616" spans="1:14">
      <c r="A616" s="13"/>
      <c r="B616" s="46" t="str">
        <f>B241</f>
        <v>Y3-Y4</v>
      </c>
      <c r="C616" s="1">
        <f t="shared" si="38"/>
        <v>4</v>
      </c>
      <c r="D616" s="5">
        <f t="shared" si="38"/>
        <v>5.2</v>
      </c>
      <c r="E616" s="5"/>
      <c r="F616" s="5">
        <f t="shared" si="39"/>
        <v>1.43</v>
      </c>
      <c r="G616" s="4">
        <f t="shared" si="40"/>
        <v>29.744</v>
      </c>
      <c r="H616" s="1" t="s">
        <v>10</v>
      </c>
      <c r="I616" s="9"/>
      <c r="J616" s="46"/>
      <c r="K616" s="1"/>
      <c r="L616" s="5"/>
      <c r="M616" s="5"/>
      <c r="N616" s="5"/>
    </row>
    <row r="617" spans="1:14">
      <c r="A617" s="13"/>
      <c r="B617" s="46" t="str">
        <f>B242</f>
        <v>Y4-Y5</v>
      </c>
      <c r="C617" s="1">
        <f t="shared" si="38"/>
        <v>4</v>
      </c>
      <c r="D617" s="5">
        <f t="shared" si="38"/>
        <v>3</v>
      </c>
      <c r="E617" s="5"/>
      <c r="F617" s="5">
        <f t="shared" si="39"/>
        <v>1.43</v>
      </c>
      <c r="G617" s="4">
        <f t="shared" si="40"/>
        <v>17.16</v>
      </c>
      <c r="H617" s="1" t="s">
        <v>10</v>
      </c>
      <c r="I617" s="9"/>
      <c r="J617" s="46"/>
      <c r="K617" s="1"/>
      <c r="L617" s="5"/>
      <c r="M617" s="5"/>
      <c r="N617" s="5"/>
    </row>
    <row r="618" spans="1:14">
      <c r="A618" s="13"/>
      <c r="B618" s="46"/>
      <c r="C618" s="1">
        <f t="shared" si="38"/>
        <v>1</v>
      </c>
      <c r="D618" s="5">
        <f t="shared" si="38"/>
        <v>3</v>
      </c>
      <c r="E618" s="5"/>
      <c r="F618" s="5">
        <f t="shared" si="39"/>
        <v>1.1300000000000001</v>
      </c>
      <c r="G618" s="4">
        <f t="shared" si="40"/>
        <v>3.3900000000000006</v>
      </c>
      <c r="H618" s="1" t="s">
        <v>10</v>
      </c>
      <c r="I618" s="9"/>
      <c r="J618" s="46"/>
      <c r="K618" s="1"/>
      <c r="L618" s="5"/>
      <c r="M618" s="5"/>
      <c r="N618" s="5"/>
    </row>
    <row r="619" spans="1:14">
      <c r="A619" s="13"/>
      <c r="B619" s="46" t="str">
        <f>B244</f>
        <v>Y5-Y6</v>
      </c>
      <c r="C619" s="1">
        <f t="shared" si="38"/>
        <v>3</v>
      </c>
      <c r="D619" s="5">
        <f t="shared" si="38"/>
        <v>2.2000000000000002</v>
      </c>
      <c r="E619" s="5"/>
      <c r="F619" s="5">
        <f t="shared" si="39"/>
        <v>1.43</v>
      </c>
      <c r="G619" s="4">
        <f t="shared" si="40"/>
        <v>9.4380000000000006</v>
      </c>
      <c r="H619" s="1" t="s">
        <v>10</v>
      </c>
      <c r="I619" s="9"/>
      <c r="J619" s="46"/>
      <c r="K619" s="1"/>
      <c r="L619" s="5"/>
      <c r="M619" s="5"/>
      <c r="N619" s="5"/>
    </row>
    <row r="620" spans="1:14">
      <c r="A620" s="13"/>
      <c r="B620" s="46"/>
      <c r="C620" s="1">
        <f t="shared" si="38"/>
        <v>1</v>
      </c>
      <c r="D620" s="5">
        <f t="shared" si="38"/>
        <v>2.2000000000000002</v>
      </c>
      <c r="E620" s="5"/>
      <c r="F620" s="5">
        <f t="shared" si="39"/>
        <v>1.1300000000000001</v>
      </c>
      <c r="G620" s="4">
        <f t="shared" si="40"/>
        <v>2.4860000000000007</v>
      </c>
      <c r="H620" s="1" t="s">
        <v>10</v>
      </c>
      <c r="I620" s="9"/>
      <c r="J620" s="46"/>
      <c r="K620" s="1"/>
      <c r="L620" s="5"/>
      <c r="M620" s="5"/>
      <c r="N620" s="5"/>
    </row>
    <row r="621" spans="1:14">
      <c r="A621" s="13"/>
      <c r="B621" s="46" t="str">
        <f t="shared" ref="B621:B634" si="41">B246</f>
        <v>Y6-Y7</v>
      </c>
      <c r="C621" s="1">
        <f t="shared" si="38"/>
        <v>3</v>
      </c>
      <c r="D621" s="5">
        <f t="shared" si="38"/>
        <v>5.2</v>
      </c>
      <c r="E621" s="5"/>
      <c r="F621" s="5">
        <f t="shared" si="39"/>
        <v>1.43</v>
      </c>
      <c r="G621" s="4">
        <f t="shared" si="40"/>
        <v>22.308</v>
      </c>
      <c r="H621" s="1" t="s">
        <v>10</v>
      </c>
      <c r="I621" s="9"/>
      <c r="J621" s="46"/>
      <c r="K621" s="1"/>
      <c r="L621" s="5"/>
      <c r="M621" s="5"/>
      <c r="N621" s="5"/>
    </row>
    <row r="622" spans="1:14">
      <c r="A622" s="13"/>
      <c r="B622" s="46" t="str">
        <f t="shared" si="41"/>
        <v>Y7-Y8</v>
      </c>
      <c r="C622" s="1">
        <f t="shared" si="38"/>
        <v>5</v>
      </c>
      <c r="D622" s="5">
        <f t="shared" si="38"/>
        <v>2.5</v>
      </c>
      <c r="E622" s="5"/>
      <c r="F622" s="5">
        <f t="shared" si="39"/>
        <v>1.43</v>
      </c>
      <c r="G622" s="4">
        <f t="shared" si="40"/>
        <v>17.875</v>
      </c>
      <c r="H622" s="1" t="s">
        <v>10</v>
      </c>
      <c r="I622" s="9"/>
      <c r="J622" s="46"/>
      <c r="K622" s="1"/>
      <c r="L622" s="5"/>
      <c r="M622" s="5"/>
      <c r="N622" s="5"/>
    </row>
    <row r="623" spans="1:14">
      <c r="A623" s="13"/>
      <c r="B623" s="46" t="str">
        <f t="shared" si="41"/>
        <v>Y8-Y9</v>
      </c>
      <c r="C623" s="1">
        <f t="shared" si="38"/>
        <v>5</v>
      </c>
      <c r="D623" s="5">
        <f t="shared" si="38"/>
        <v>2.5</v>
      </c>
      <c r="E623" s="5"/>
      <c r="F623" s="5">
        <f t="shared" si="39"/>
        <v>1.43</v>
      </c>
      <c r="G623" s="4">
        <f t="shared" si="40"/>
        <v>17.875</v>
      </c>
      <c r="H623" s="1" t="s">
        <v>10</v>
      </c>
      <c r="I623" s="9"/>
      <c r="J623" s="46"/>
      <c r="K623" s="1"/>
      <c r="L623" s="5"/>
      <c r="M623" s="5"/>
      <c r="N623" s="5"/>
    </row>
    <row r="624" spans="1:14">
      <c r="A624" s="13"/>
      <c r="B624" s="46" t="str">
        <f t="shared" si="41"/>
        <v>Y9-Y10</v>
      </c>
      <c r="C624" s="1">
        <f t="shared" si="38"/>
        <v>7</v>
      </c>
      <c r="D624" s="5">
        <f t="shared" si="38"/>
        <v>5</v>
      </c>
      <c r="E624" s="5"/>
      <c r="F624" s="5">
        <f t="shared" si="39"/>
        <v>1.43</v>
      </c>
      <c r="G624" s="4">
        <f t="shared" si="40"/>
        <v>50.05</v>
      </c>
      <c r="H624" s="1" t="s">
        <v>10</v>
      </c>
      <c r="I624" s="9"/>
      <c r="J624" s="46"/>
      <c r="K624" s="1"/>
      <c r="L624" s="5"/>
      <c r="M624" s="5"/>
      <c r="N624" s="5"/>
    </row>
    <row r="625" spans="1:14">
      <c r="A625" s="13"/>
      <c r="B625" s="46" t="str">
        <f t="shared" si="41"/>
        <v>Y10-Y11</v>
      </c>
      <c r="C625" s="1">
        <f t="shared" si="38"/>
        <v>7</v>
      </c>
      <c r="D625" s="5">
        <f t="shared" si="38"/>
        <v>5</v>
      </c>
      <c r="E625" s="5"/>
      <c r="F625" s="5">
        <f t="shared" si="39"/>
        <v>1.43</v>
      </c>
      <c r="G625" s="4">
        <f t="shared" si="40"/>
        <v>50.05</v>
      </c>
      <c r="H625" s="1" t="s">
        <v>10</v>
      </c>
      <c r="I625" s="9"/>
      <c r="J625" s="46"/>
      <c r="K625" s="1"/>
      <c r="L625" s="5"/>
      <c r="M625" s="5"/>
      <c r="N625" s="5"/>
    </row>
    <row r="626" spans="1:14">
      <c r="A626" s="13"/>
      <c r="B626" s="46" t="str">
        <f t="shared" si="41"/>
        <v>X1-X2</v>
      </c>
      <c r="C626" s="1">
        <f t="shared" si="38"/>
        <v>2</v>
      </c>
      <c r="D626" s="5">
        <f t="shared" si="38"/>
        <v>0.79</v>
      </c>
      <c r="E626" s="5"/>
      <c r="F626" s="5">
        <f t="shared" si="39"/>
        <v>1.1300000000000001</v>
      </c>
      <c r="G626" s="4">
        <f t="shared" si="40"/>
        <v>1.7854000000000003</v>
      </c>
      <c r="H626" s="1" t="s">
        <v>10</v>
      </c>
      <c r="I626" s="9"/>
      <c r="J626" s="46"/>
      <c r="K626" s="1"/>
      <c r="L626" s="5"/>
      <c r="M626" s="5"/>
      <c r="N626" s="5"/>
    </row>
    <row r="627" spans="1:14">
      <c r="A627" s="13"/>
      <c r="B627" s="46" t="str">
        <f t="shared" si="41"/>
        <v>X2-X3</v>
      </c>
      <c r="C627" s="1">
        <f t="shared" si="38"/>
        <v>2</v>
      </c>
      <c r="D627" s="5">
        <f t="shared" si="38"/>
        <v>1.2</v>
      </c>
      <c r="E627" s="5"/>
      <c r="F627" s="5">
        <f t="shared" si="39"/>
        <v>1.1300000000000001</v>
      </c>
      <c r="G627" s="4">
        <f t="shared" si="40"/>
        <v>2.7120000000000002</v>
      </c>
      <c r="H627" s="1" t="s">
        <v>10</v>
      </c>
      <c r="I627" s="9"/>
      <c r="J627" s="46"/>
      <c r="K627" s="1"/>
      <c r="L627" s="5"/>
      <c r="M627" s="5"/>
      <c r="N627" s="5"/>
    </row>
    <row r="628" spans="1:14">
      <c r="A628" s="13"/>
      <c r="B628" s="46" t="str">
        <f t="shared" si="41"/>
        <v>X3-X4</v>
      </c>
      <c r="C628" s="1">
        <f t="shared" si="38"/>
        <v>11</v>
      </c>
      <c r="D628" s="5">
        <f t="shared" si="38"/>
        <v>4.5</v>
      </c>
      <c r="E628" s="5"/>
      <c r="F628" s="5">
        <f t="shared" si="39"/>
        <v>1.43</v>
      </c>
      <c r="G628" s="4">
        <f t="shared" si="40"/>
        <v>70.784999999999997</v>
      </c>
      <c r="H628" s="1" t="s">
        <v>10</v>
      </c>
      <c r="I628" s="9"/>
      <c r="J628" s="46"/>
      <c r="K628" s="1"/>
      <c r="L628" s="5"/>
      <c r="M628" s="5"/>
      <c r="N628" s="5"/>
    </row>
    <row r="629" spans="1:14">
      <c r="A629" s="13"/>
      <c r="B629" s="46" t="str">
        <f t="shared" si="41"/>
        <v>X4-X5</v>
      </c>
      <c r="C629" s="1">
        <f t="shared" si="38"/>
        <v>10</v>
      </c>
      <c r="D629" s="5">
        <f t="shared" si="38"/>
        <v>4.5</v>
      </c>
      <c r="E629" s="5"/>
      <c r="F629" s="5">
        <f t="shared" si="39"/>
        <v>1.43</v>
      </c>
      <c r="G629" s="4">
        <f t="shared" si="40"/>
        <v>64.349999999999994</v>
      </c>
      <c r="H629" s="1" t="s">
        <v>10</v>
      </c>
      <c r="I629" s="9"/>
      <c r="J629" s="46"/>
      <c r="K629" s="1"/>
      <c r="L629" s="5"/>
      <c r="M629" s="5"/>
      <c r="N629" s="5"/>
    </row>
    <row r="630" spans="1:14">
      <c r="A630" s="13"/>
      <c r="B630" s="46" t="str">
        <f t="shared" si="41"/>
        <v>X5-X6</v>
      </c>
      <c r="C630" s="1">
        <f t="shared" si="38"/>
        <v>6</v>
      </c>
      <c r="D630" s="5">
        <f t="shared" si="38"/>
        <v>2.5</v>
      </c>
      <c r="E630" s="5"/>
      <c r="F630" s="5">
        <f t="shared" si="39"/>
        <v>1.43</v>
      </c>
      <c r="G630" s="4">
        <f t="shared" si="40"/>
        <v>21.45</v>
      </c>
      <c r="H630" s="1" t="s">
        <v>10</v>
      </c>
      <c r="I630" s="9"/>
      <c r="J630" s="46"/>
      <c r="K630" s="1"/>
      <c r="L630" s="5"/>
      <c r="M630" s="5"/>
      <c r="N630" s="5"/>
    </row>
    <row r="631" spans="1:14">
      <c r="A631" s="13"/>
      <c r="B631" s="46" t="str">
        <f t="shared" si="41"/>
        <v>X6-X7</v>
      </c>
      <c r="C631" s="1">
        <f t="shared" si="38"/>
        <v>6</v>
      </c>
      <c r="D631" s="5">
        <f t="shared" si="38"/>
        <v>2.5</v>
      </c>
      <c r="E631" s="5"/>
      <c r="F631" s="5">
        <f t="shared" si="39"/>
        <v>1.43</v>
      </c>
      <c r="G631" s="4">
        <f t="shared" si="40"/>
        <v>21.45</v>
      </c>
      <c r="H631" s="1" t="s">
        <v>10</v>
      </c>
      <c r="I631" s="9"/>
      <c r="J631" s="46"/>
      <c r="K631" s="1"/>
      <c r="L631" s="5"/>
      <c r="M631" s="5"/>
      <c r="N631" s="5"/>
    </row>
    <row r="632" spans="1:14">
      <c r="A632" s="13"/>
      <c r="B632" s="46" t="str">
        <f t="shared" si="41"/>
        <v>X7-X8</v>
      </c>
      <c r="C632" s="1">
        <f t="shared" si="38"/>
        <v>5</v>
      </c>
      <c r="D632" s="5">
        <f t="shared" si="38"/>
        <v>1.25</v>
      </c>
      <c r="E632" s="5"/>
      <c r="F632" s="5">
        <f t="shared" si="39"/>
        <v>1.43</v>
      </c>
      <c r="G632" s="4">
        <f t="shared" si="40"/>
        <v>8.9375</v>
      </c>
      <c r="H632" s="1" t="s">
        <v>10</v>
      </c>
      <c r="I632" s="9"/>
      <c r="J632" s="46"/>
      <c r="K632" s="1"/>
      <c r="L632" s="5"/>
      <c r="M632" s="5"/>
      <c r="N632" s="5"/>
    </row>
    <row r="633" spans="1:14">
      <c r="A633" s="13"/>
      <c r="B633" s="46" t="str">
        <f t="shared" si="41"/>
        <v>X8-X9</v>
      </c>
      <c r="C633" s="1">
        <f t="shared" si="38"/>
        <v>5</v>
      </c>
      <c r="D633" s="5">
        <f t="shared" si="38"/>
        <v>3.75</v>
      </c>
      <c r="E633" s="5"/>
      <c r="F633" s="5">
        <f t="shared" si="39"/>
        <v>1.43</v>
      </c>
      <c r="G633" s="4">
        <f t="shared" si="40"/>
        <v>26.8125</v>
      </c>
      <c r="H633" s="1" t="s">
        <v>10</v>
      </c>
      <c r="I633" s="9"/>
      <c r="J633" s="46"/>
      <c r="K633" s="1"/>
      <c r="L633" s="5"/>
      <c r="M633" s="5"/>
      <c r="N633" s="5"/>
    </row>
    <row r="634" spans="1:14">
      <c r="A634" s="13"/>
      <c r="B634" s="46" t="str">
        <f t="shared" si="41"/>
        <v>X9-X10</v>
      </c>
      <c r="C634" s="1">
        <f t="shared" si="38"/>
        <v>4</v>
      </c>
      <c r="D634" s="5">
        <f t="shared" si="38"/>
        <v>3.5</v>
      </c>
      <c r="E634" s="5"/>
      <c r="F634" s="5">
        <f t="shared" si="39"/>
        <v>1.43</v>
      </c>
      <c r="G634" s="4">
        <f t="shared" si="40"/>
        <v>20.02</v>
      </c>
      <c r="H634" s="1" t="s">
        <v>10</v>
      </c>
      <c r="I634" s="9"/>
      <c r="J634" s="46"/>
      <c r="K634" s="1"/>
      <c r="L634" s="5"/>
      <c r="M634" s="5"/>
      <c r="N634" s="5"/>
    </row>
    <row r="635" spans="1:14">
      <c r="A635" s="13"/>
      <c r="B635" s="9"/>
      <c r="C635" s="1"/>
      <c r="D635" s="5"/>
      <c r="E635" s="1"/>
      <c r="F635" s="1"/>
      <c r="G635" s="4"/>
      <c r="H635" s="24"/>
      <c r="I635" s="9"/>
      <c r="J635" s="31"/>
      <c r="K635" s="31"/>
    </row>
    <row r="636" spans="1:14">
      <c r="A636" s="13"/>
      <c r="B636" s="9"/>
      <c r="C636" s="1"/>
      <c r="D636" s="1"/>
      <c r="E636" s="1"/>
      <c r="F636" s="34" t="s">
        <v>11</v>
      </c>
      <c r="G636" s="53">
        <f>SUM(G608:G635)</f>
        <v>657.18720000000008</v>
      </c>
      <c r="H636" s="50" t="s">
        <v>17</v>
      </c>
      <c r="I636" s="9"/>
      <c r="J636" s="18"/>
    </row>
    <row r="637" spans="1:14">
      <c r="A637" s="13"/>
      <c r="B637" s="9"/>
      <c r="C637" s="1"/>
      <c r="D637" s="1"/>
      <c r="E637" s="1"/>
      <c r="F637" s="56" t="s">
        <v>13</v>
      </c>
      <c r="G637" s="27">
        <f>ROUNDUP(G636,0)</f>
        <v>658</v>
      </c>
      <c r="H637" s="28" t="s">
        <v>17</v>
      </c>
      <c r="I637" s="9"/>
      <c r="J637" s="18"/>
    </row>
    <row r="638" spans="1:14">
      <c r="A638" s="13"/>
      <c r="B638" s="9"/>
      <c r="C638" s="1"/>
      <c r="D638" s="1"/>
      <c r="E638" s="1"/>
      <c r="F638" s="1"/>
      <c r="G638" s="33"/>
      <c r="H638" s="24"/>
      <c r="I638" s="9"/>
      <c r="J638" s="18"/>
    </row>
    <row r="639" spans="1:14">
      <c r="A639" s="13"/>
      <c r="B639" s="15" t="str">
        <f t="shared" ref="B639:B644" si="42">B264</f>
        <v>Mezzanine Floor:</v>
      </c>
      <c r="C639" s="1"/>
      <c r="D639" s="5"/>
      <c r="E639" s="5"/>
      <c r="F639" s="5"/>
      <c r="G639" s="4"/>
      <c r="H639" s="31"/>
      <c r="I639" s="9"/>
      <c r="J639" s="18"/>
    </row>
    <row r="640" spans="1:14">
      <c r="A640" s="13"/>
      <c r="B640" s="46" t="str">
        <f t="shared" si="42"/>
        <v xml:space="preserve">   @ 8.30m Lvl</v>
      </c>
      <c r="C640" s="31"/>
      <c r="D640" s="5"/>
      <c r="E640" s="5"/>
      <c r="F640" s="5"/>
      <c r="G640" s="4"/>
      <c r="H640" s="1"/>
      <c r="I640" s="9"/>
      <c r="J640" s="46"/>
      <c r="K640" s="1"/>
      <c r="L640" s="5"/>
      <c r="M640" s="5"/>
      <c r="N640" s="5"/>
    </row>
    <row r="641" spans="1:14">
      <c r="A641" s="13"/>
      <c r="B641" s="46" t="str">
        <f t="shared" si="42"/>
        <v>Y1-Y2</v>
      </c>
      <c r="C641" s="1">
        <f t="shared" ref="C641:D663" si="43">C266</f>
        <v>3</v>
      </c>
      <c r="D641" s="5">
        <f t="shared" si="43"/>
        <v>5.2</v>
      </c>
      <c r="E641" s="5"/>
      <c r="F641" s="5">
        <f t="shared" ref="F641:F661" si="44">(F266*2)+0.23</f>
        <v>1.43</v>
      </c>
      <c r="G641" s="4">
        <f>C641*D641*F641</f>
        <v>22.308</v>
      </c>
      <c r="H641" s="1" t="s">
        <v>17</v>
      </c>
      <c r="I641" s="9"/>
      <c r="J641" s="46"/>
      <c r="K641" s="1"/>
      <c r="L641" s="5"/>
      <c r="M641" s="5"/>
      <c r="N641" s="5"/>
    </row>
    <row r="642" spans="1:14">
      <c r="A642" s="13"/>
      <c r="B642" s="46" t="str">
        <f t="shared" si="42"/>
        <v>Y2-Y3</v>
      </c>
      <c r="C642" s="1">
        <f t="shared" si="43"/>
        <v>3</v>
      </c>
      <c r="D642" s="5">
        <f t="shared" si="43"/>
        <v>5.2</v>
      </c>
      <c r="E642" s="5"/>
      <c r="F642" s="5">
        <f t="shared" si="44"/>
        <v>1.43</v>
      </c>
      <c r="G642" s="4">
        <f t="shared" ref="G642:G663" si="45">C642*D642*F642</f>
        <v>22.308</v>
      </c>
      <c r="H642" s="1" t="s">
        <v>10</v>
      </c>
      <c r="I642" s="9"/>
      <c r="J642" s="46"/>
      <c r="K642" s="1"/>
      <c r="L642" s="5"/>
      <c r="M642" s="5"/>
      <c r="N642" s="5"/>
    </row>
    <row r="643" spans="1:14">
      <c r="A643" s="13"/>
      <c r="B643" s="46" t="str">
        <f t="shared" si="42"/>
        <v>Y3-Y4</v>
      </c>
      <c r="C643" s="1">
        <f t="shared" si="43"/>
        <v>4</v>
      </c>
      <c r="D643" s="5">
        <f t="shared" si="43"/>
        <v>5.2</v>
      </c>
      <c r="E643" s="5"/>
      <c r="F643" s="5">
        <f t="shared" si="44"/>
        <v>1.43</v>
      </c>
      <c r="G643" s="4">
        <f t="shared" si="45"/>
        <v>29.744</v>
      </c>
      <c r="H643" s="1" t="s">
        <v>10</v>
      </c>
      <c r="I643" s="9"/>
      <c r="J643" s="46"/>
      <c r="K643" s="1"/>
      <c r="L643" s="5"/>
      <c r="M643" s="5"/>
      <c r="N643" s="5"/>
    </row>
    <row r="644" spans="1:14">
      <c r="A644" s="13"/>
      <c r="B644" s="46" t="str">
        <f t="shared" si="42"/>
        <v>Y4-Y5</v>
      </c>
      <c r="C644" s="1">
        <f t="shared" si="43"/>
        <v>4</v>
      </c>
      <c r="D644" s="5">
        <f t="shared" si="43"/>
        <v>3</v>
      </c>
      <c r="E644" s="5"/>
      <c r="F644" s="5">
        <f t="shared" si="44"/>
        <v>1.43</v>
      </c>
      <c r="G644" s="4">
        <f t="shared" si="45"/>
        <v>17.16</v>
      </c>
      <c r="H644" s="1" t="s">
        <v>10</v>
      </c>
      <c r="I644" s="9"/>
      <c r="J644" s="46"/>
      <c r="K644" s="1"/>
      <c r="L644" s="5"/>
      <c r="M644" s="5"/>
      <c r="N644" s="5"/>
    </row>
    <row r="645" spans="1:14">
      <c r="A645" s="13"/>
      <c r="B645" s="46"/>
      <c r="C645" s="1">
        <f t="shared" si="43"/>
        <v>1</v>
      </c>
      <c r="D645" s="5">
        <f t="shared" si="43"/>
        <v>3</v>
      </c>
      <c r="E645" s="5"/>
      <c r="F645" s="5">
        <f t="shared" si="44"/>
        <v>1.1300000000000001</v>
      </c>
      <c r="G645" s="4">
        <f t="shared" si="45"/>
        <v>3.3900000000000006</v>
      </c>
      <c r="H645" s="1" t="s">
        <v>10</v>
      </c>
      <c r="I645" s="9"/>
      <c r="J645" s="46"/>
      <c r="K645" s="1"/>
      <c r="L645" s="5"/>
      <c r="M645" s="5"/>
      <c r="N645" s="5"/>
    </row>
    <row r="646" spans="1:14">
      <c r="A646" s="13"/>
      <c r="B646" s="46" t="str">
        <f>B271</f>
        <v>Y5-Y6</v>
      </c>
      <c r="C646" s="1">
        <f t="shared" si="43"/>
        <v>3</v>
      </c>
      <c r="D646" s="5">
        <f t="shared" si="43"/>
        <v>2.2000000000000002</v>
      </c>
      <c r="E646" s="5"/>
      <c r="F646" s="5">
        <f t="shared" si="44"/>
        <v>1.43</v>
      </c>
      <c r="G646" s="4">
        <f t="shared" si="45"/>
        <v>9.4380000000000006</v>
      </c>
      <c r="H646" s="1" t="s">
        <v>10</v>
      </c>
      <c r="I646" s="9"/>
      <c r="J646" s="46"/>
      <c r="K646" s="1"/>
      <c r="L646" s="5"/>
      <c r="M646" s="5"/>
      <c r="N646" s="5"/>
    </row>
    <row r="647" spans="1:14">
      <c r="A647" s="13"/>
      <c r="B647" s="46"/>
      <c r="C647" s="1">
        <f t="shared" si="43"/>
        <v>1</v>
      </c>
      <c r="D647" s="5">
        <f t="shared" si="43"/>
        <v>2.2000000000000002</v>
      </c>
      <c r="E647" s="5"/>
      <c r="F647" s="5">
        <f t="shared" si="44"/>
        <v>1.1300000000000001</v>
      </c>
      <c r="G647" s="4">
        <f t="shared" si="45"/>
        <v>2.4860000000000007</v>
      </c>
      <c r="H647" s="1" t="s">
        <v>10</v>
      </c>
      <c r="I647" s="9"/>
      <c r="J647" s="46"/>
      <c r="K647" s="1"/>
      <c r="L647" s="5"/>
      <c r="M647" s="5"/>
      <c r="N647" s="5"/>
    </row>
    <row r="648" spans="1:14">
      <c r="A648" s="13"/>
      <c r="B648" s="46" t="str">
        <f>B273</f>
        <v>Y6-Y7</v>
      </c>
      <c r="C648" s="1">
        <f t="shared" si="43"/>
        <v>3</v>
      </c>
      <c r="D648" s="5">
        <f t="shared" si="43"/>
        <v>5.2</v>
      </c>
      <c r="E648" s="5"/>
      <c r="F648" s="5">
        <f t="shared" si="44"/>
        <v>1.43</v>
      </c>
      <c r="G648" s="4">
        <f t="shared" si="45"/>
        <v>22.308</v>
      </c>
      <c r="H648" s="1" t="s">
        <v>10</v>
      </c>
      <c r="I648" s="9"/>
      <c r="J648" s="46"/>
      <c r="K648" s="1"/>
      <c r="L648" s="5"/>
      <c r="M648" s="5"/>
      <c r="N648" s="5"/>
    </row>
    <row r="649" spans="1:14">
      <c r="A649" s="13"/>
      <c r="B649" s="46" t="str">
        <f>B274</f>
        <v>Y7-Y8</v>
      </c>
      <c r="C649" s="1">
        <f t="shared" si="43"/>
        <v>5</v>
      </c>
      <c r="D649" s="5">
        <f t="shared" si="43"/>
        <v>2.5</v>
      </c>
      <c r="E649" s="5"/>
      <c r="F649" s="5">
        <f t="shared" si="44"/>
        <v>1.43</v>
      </c>
      <c r="G649" s="4">
        <f t="shared" si="45"/>
        <v>17.875</v>
      </c>
      <c r="H649" s="1" t="s">
        <v>10</v>
      </c>
      <c r="I649" s="9"/>
      <c r="J649" s="46"/>
      <c r="K649" s="1"/>
      <c r="L649" s="5"/>
      <c r="M649" s="5"/>
      <c r="N649" s="5"/>
    </row>
    <row r="650" spans="1:14">
      <c r="A650" s="13"/>
      <c r="B650" s="46" t="str">
        <f>B275</f>
        <v>Y8-Y9</v>
      </c>
      <c r="C650" s="1">
        <f t="shared" si="43"/>
        <v>5</v>
      </c>
      <c r="D650" s="5">
        <f t="shared" si="43"/>
        <v>2.5</v>
      </c>
      <c r="E650" s="5"/>
      <c r="F650" s="5">
        <f t="shared" si="44"/>
        <v>1.43</v>
      </c>
      <c r="G650" s="4">
        <f t="shared" si="45"/>
        <v>17.875</v>
      </c>
      <c r="H650" s="1" t="s">
        <v>10</v>
      </c>
      <c r="I650" s="9"/>
      <c r="J650" s="46"/>
      <c r="K650" s="1"/>
      <c r="L650" s="5"/>
      <c r="M650" s="5"/>
      <c r="N650" s="5"/>
    </row>
    <row r="651" spans="1:14">
      <c r="A651" s="13"/>
      <c r="B651" s="46" t="str">
        <f>B276</f>
        <v>Y9-Y10</v>
      </c>
      <c r="C651" s="1">
        <f t="shared" si="43"/>
        <v>6</v>
      </c>
      <c r="D651" s="5">
        <f t="shared" si="43"/>
        <v>5</v>
      </c>
      <c r="E651" s="5"/>
      <c r="F651" s="5">
        <f t="shared" si="44"/>
        <v>1.43</v>
      </c>
      <c r="G651" s="4">
        <f t="shared" si="45"/>
        <v>42.9</v>
      </c>
      <c r="H651" s="1" t="s">
        <v>10</v>
      </c>
      <c r="I651" s="9"/>
      <c r="J651" s="46"/>
      <c r="K651" s="1"/>
      <c r="L651" s="5"/>
      <c r="M651" s="5"/>
      <c r="N651" s="5"/>
    </row>
    <row r="652" spans="1:14">
      <c r="A652" s="13"/>
      <c r="B652" s="46" t="str">
        <f>B277</f>
        <v>Y10-Y11</v>
      </c>
      <c r="C652" s="1">
        <f t="shared" si="43"/>
        <v>6</v>
      </c>
      <c r="D652" s="5">
        <f t="shared" si="43"/>
        <v>5</v>
      </c>
      <c r="E652" s="5"/>
      <c r="F652" s="5">
        <f t="shared" si="44"/>
        <v>1.43</v>
      </c>
      <c r="G652" s="4">
        <f t="shared" si="45"/>
        <v>42.9</v>
      </c>
      <c r="H652" s="1" t="s">
        <v>10</v>
      </c>
      <c r="I652" s="9"/>
      <c r="J652" s="46"/>
      <c r="K652" s="1"/>
      <c r="L652" s="5"/>
      <c r="M652" s="5"/>
      <c r="N652" s="5"/>
    </row>
    <row r="653" spans="1:14">
      <c r="A653" s="13"/>
      <c r="B653" s="46"/>
      <c r="C653" s="1">
        <f t="shared" si="43"/>
        <v>3</v>
      </c>
      <c r="D653" s="5">
        <f t="shared" si="43"/>
        <v>1.2749999999999999</v>
      </c>
      <c r="E653" s="5"/>
      <c r="F653" s="5">
        <f t="shared" si="44"/>
        <v>1.43</v>
      </c>
      <c r="G653" s="4">
        <f t="shared" si="45"/>
        <v>5.4697499999999994</v>
      </c>
      <c r="H653" s="1" t="s">
        <v>10</v>
      </c>
      <c r="I653" s="9"/>
      <c r="J653" s="46"/>
      <c r="K653" s="1"/>
      <c r="L653" s="5"/>
      <c r="M653" s="5"/>
      <c r="N653" s="5"/>
    </row>
    <row r="654" spans="1:14">
      <c r="A654" s="13"/>
      <c r="B654" s="46" t="str">
        <f t="shared" ref="B654:B662" si="46">B279</f>
        <v>X1-X2</v>
      </c>
      <c r="C654" s="1">
        <f t="shared" si="43"/>
        <v>2</v>
      </c>
      <c r="D654" s="5">
        <f t="shared" si="43"/>
        <v>0.79</v>
      </c>
      <c r="E654" s="5"/>
      <c r="F654" s="5">
        <f t="shared" si="44"/>
        <v>1.1300000000000001</v>
      </c>
      <c r="G654" s="4">
        <f t="shared" si="45"/>
        <v>1.7854000000000003</v>
      </c>
      <c r="H654" s="1" t="s">
        <v>10</v>
      </c>
      <c r="I654" s="9"/>
      <c r="J654" s="46"/>
      <c r="K654" s="1"/>
      <c r="L654" s="5"/>
      <c r="M654" s="5"/>
      <c r="N654" s="5"/>
    </row>
    <row r="655" spans="1:14">
      <c r="A655" s="13"/>
      <c r="B655" s="46" t="str">
        <f t="shared" si="46"/>
        <v>X2-X3</v>
      </c>
      <c r="C655" s="1">
        <f t="shared" si="43"/>
        <v>2</v>
      </c>
      <c r="D655" s="5">
        <f t="shared" si="43"/>
        <v>1.2</v>
      </c>
      <c r="E655" s="5"/>
      <c r="F655" s="5">
        <f t="shared" si="44"/>
        <v>1.1300000000000001</v>
      </c>
      <c r="G655" s="4">
        <f t="shared" si="45"/>
        <v>2.7120000000000002</v>
      </c>
      <c r="H655" s="1" t="s">
        <v>10</v>
      </c>
      <c r="I655" s="9"/>
      <c r="J655" s="46"/>
      <c r="K655" s="1"/>
      <c r="L655" s="5"/>
      <c r="M655" s="5"/>
      <c r="N655" s="5"/>
    </row>
    <row r="656" spans="1:14">
      <c r="A656" s="13"/>
      <c r="B656" s="46" t="str">
        <f t="shared" si="46"/>
        <v>X3-X4</v>
      </c>
      <c r="C656" s="1">
        <f t="shared" si="43"/>
        <v>10</v>
      </c>
      <c r="D656" s="5">
        <f t="shared" si="43"/>
        <v>4.5</v>
      </c>
      <c r="E656" s="5"/>
      <c r="F656" s="5">
        <f t="shared" si="44"/>
        <v>1.43</v>
      </c>
      <c r="G656" s="4">
        <f t="shared" si="45"/>
        <v>64.349999999999994</v>
      </c>
      <c r="H656" s="1" t="s">
        <v>10</v>
      </c>
      <c r="I656" s="9"/>
      <c r="J656" s="46"/>
      <c r="K656" s="1"/>
      <c r="L656" s="5"/>
      <c r="M656" s="5"/>
      <c r="N656" s="5"/>
    </row>
    <row r="657" spans="1:14">
      <c r="A657" s="13"/>
      <c r="B657" s="46" t="str">
        <f t="shared" si="46"/>
        <v>X4-X5</v>
      </c>
      <c r="C657" s="1">
        <f t="shared" si="43"/>
        <v>10</v>
      </c>
      <c r="D657" s="5">
        <f t="shared" si="43"/>
        <v>4.5</v>
      </c>
      <c r="E657" s="5"/>
      <c r="F657" s="5">
        <f t="shared" si="44"/>
        <v>1.43</v>
      </c>
      <c r="G657" s="4">
        <f t="shared" si="45"/>
        <v>64.349999999999994</v>
      </c>
      <c r="H657" s="1" t="s">
        <v>10</v>
      </c>
      <c r="I657" s="9"/>
      <c r="J657" s="46"/>
      <c r="K657" s="1"/>
      <c r="L657" s="5"/>
      <c r="M657" s="5"/>
      <c r="N657" s="5"/>
    </row>
    <row r="658" spans="1:14">
      <c r="A658" s="13"/>
      <c r="B658" s="46" t="str">
        <f t="shared" si="46"/>
        <v>X5-X6</v>
      </c>
      <c r="C658" s="1">
        <f t="shared" si="43"/>
        <v>4</v>
      </c>
      <c r="D658" s="5">
        <f t="shared" si="43"/>
        <v>2.5</v>
      </c>
      <c r="E658" s="5"/>
      <c r="F658" s="5">
        <f t="shared" si="44"/>
        <v>1.43</v>
      </c>
      <c r="G658" s="4">
        <f t="shared" si="45"/>
        <v>14.299999999999999</v>
      </c>
      <c r="H658" s="1" t="s">
        <v>10</v>
      </c>
      <c r="I658" s="9"/>
      <c r="J658" s="46"/>
      <c r="K658" s="1"/>
      <c r="L658" s="5"/>
      <c r="M658" s="5"/>
      <c r="N658" s="5"/>
    </row>
    <row r="659" spans="1:14">
      <c r="A659" s="13"/>
      <c r="B659" s="46" t="str">
        <f t="shared" si="46"/>
        <v>X6-X7</v>
      </c>
      <c r="C659" s="1">
        <f t="shared" si="43"/>
        <v>4</v>
      </c>
      <c r="D659" s="5">
        <f t="shared" si="43"/>
        <v>2.5</v>
      </c>
      <c r="E659" s="5"/>
      <c r="F659" s="5">
        <f t="shared" si="44"/>
        <v>1.43</v>
      </c>
      <c r="G659" s="4">
        <f t="shared" si="45"/>
        <v>14.299999999999999</v>
      </c>
      <c r="H659" s="1" t="s">
        <v>10</v>
      </c>
      <c r="I659" s="9"/>
      <c r="J659" s="46"/>
      <c r="K659" s="1"/>
      <c r="L659" s="5"/>
      <c r="M659" s="5"/>
      <c r="N659" s="5"/>
    </row>
    <row r="660" spans="1:14">
      <c r="A660" s="13"/>
      <c r="B660" s="46" t="str">
        <f t="shared" si="46"/>
        <v>X7-X8</v>
      </c>
      <c r="C660" s="1">
        <f t="shared" si="43"/>
        <v>4</v>
      </c>
      <c r="D660" s="5">
        <f t="shared" si="43"/>
        <v>1.25</v>
      </c>
      <c r="E660" s="5"/>
      <c r="F660" s="5">
        <f t="shared" si="44"/>
        <v>1.43</v>
      </c>
      <c r="G660" s="4">
        <f t="shared" si="45"/>
        <v>7.1499999999999995</v>
      </c>
      <c r="H660" s="1" t="s">
        <v>10</v>
      </c>
      <c r="I660" s="9"/>
      <c r="J660" s="46"/>
      <c r="K660" s="1"/>
      <c r="L660" s="5"/>
      <c r="M660" s="5"/>
      <c r="N660" s="5"/>
    </row>
    <row r="661" spans="1:14">
      <c r="A661" s="13"/>
      <c r="B661" s="46" t="str">
        <f t="shared" si="46"/>
        <v>X8-X9</v>
      </c>
      <c r="C661" s="1">
        <f t="shared" si="43"/>
        <v>4</v>
      </c>
      <c r="D661" s="5">
        <f t="shared" si="43"/>
        <v>3.75</v>
      </c>
      <c r="E661" s="5"/>
      <c r="F661" s="5">
        <f t="shared" si="44"/>
        <v>1.43</v>
      </c>
      <c r="G661" s="4">
        <f t="shared" si="45"/>
        <v>21.45</v>
      </c>
      <c r="H661" s="1" t="s">
        <v>10</v>
      </c>
      <c r="I661" s="9"/>
      <c r="J661" s="46"/>
      <c r="K661" s="1"/>
      <c r="L661" s="5"/>
      <c r="M661" s="5"/>
      <c r="N661" s="5"/>
    </row>
    <row r="662" spans="1:14">
      <c r="A662" s="13"/>
      <c r="B662" s="46" t="str">
        <f t="shared" si="46"/>
        <v xml:space="preserve">   @7.30 m Lvl</v>
      </c>
      <c r="C662" s="1">
        <f t="shared" si="43"/>
        <v>6</v>
      </c>
      <c r="D662" s="5">
        <f t="shared" si="43"/>
        <v>10</v>
      </c>
      <c r="E662" s="5"/>
      <c r="F662" s="5">
        <f>(F287*2)+E287</f>
        <v>1.5</v>
      </c>
      <c r="G662" s="4">
        <f t="shared" si="45"/>
        <v>90</v>
      </c>
      <c r="H662" s="1" t="s">
        <v>10</v>
      </c>
      <c r="I662" s="9"/>
      <c r="J662" s="46"/>
      <c r="K662" s="1"/>
      <c r="L662" s="5"/>
      <c r="M662" s="5"/>
      <c r="N662" s="5"/>
    </row>
    <row r="663" spans="1:14">
      <c r="A663" s="13"/>
      <c r="B663" s="46"/>
      <c r="C663" s="1">
        <f t="shared" si="43"/>
        <v>2</v>
      </c>
      <c r="D663" s="5">
        <f t="shared" si="43"/>
        <v>26</v>
      </c>
      <c r="E663" s="5"/>
      <c r="F663" s="5">
        <f>(F288*2)+E288</f>
        <v>1.5</v>
      </c>
      <c r="G663" s="4">
        <f t="shared" si="45"/>
        <v>78</v>
      </c>
      <c r="H663" s="1" t="s">
        <v>10</v>
      </c>
      <c r="I663" s="9"/>
      <c r="J663" s="46"/>
      <c r="K663" s="1"/>
      <c r="L663" s="5"/>
      <c r="M663" s="5"/>
      <c r="N663" s="5"/>
    </row>
    <row r="664" spans="1:14">
      <c r="A664" s="13"/>
      <c r="B664" s="46"/>
      <c r="C664" s="1"/>
      <c r="D664" s="5"/>
      <c r="E664" s="5"/>
      <c r="F664" s="5"/>
      <c r="G664" s="4"/>
      <c r="H664" s="1"/>
      <c r="I664" s="9"/>
      <c r="J664" s="31"/>
      <c r="K664" s="31"/>
    </row>
    <row r="665" spans="1:14">
      <c r="A665" s="13"/>
      <c r="B665" s="9"/>
      <c r="C665" s="1"/>
      <c r="D665" s="1"/>
      <c r="E665" s="1"/>
      <c r="F665" s="34" t="s">
        <v>11</v>
      </c>
      <c r="G665" s="53">
        <f>SUM(G641:G664)</f>
        <v>614.55915000000005</v>
      </c>
      <c r="H665" s="50" t="s">
        <v>17</v>
      </c>
      <c r="I665" s="9"/>
      <c r="J665" s="18"/>
    </row>
    <row r="666" spans="1:14">
      <c r="A666" s="13"/>
      <c r="B666" s="9"/>
      <c r="C666" s="1"/>
      <c r="D666" s="1"/>
      <c r="E666" s="1"/>
      <c r="F666" s="56" t="s">
        <v>13</v>
      </c>
      <c r="G666" s="27">
        <f>ROUNDUP(G665,0)</f>
        <v>615</v>
      </c>
      <c r="H666" s="28" t="s">
        <v>17</v>
      </c>
      <c r="I666" s="9"/>
      <c r="J666" s="18"/>
    </row>
    <row r="667" spans="1:14">
      <c r="A667" s="13"/>
      <c r="B667" s="9"/>
      <c r="C667" s="1"/>
      <c r="D667" s="1"/>
      <c r="E667" s="1"/>
      <c r="F667" s="1"/>
      <c r="G667" s="33"/>
      <c r="H667" s="24"/>
      <c r="I667" s="9"/>
      <c r="J667" s="18"/>
    </row>
    <row r="668" spans="1:14">
      <c r="A668" s="13"/>
      <c r="B668" s="15" t="s">
        <v>57</v>
      </c>
      <c r="C668" s="31"/>
      <c r="D668" s="31"/>
      <c r="E668" s="31"/>
      <c r="F668" s="31"/>
      <c r="H668" s="31"/>
      <c r="I668" s="9"/>
      <c r="J668" s="18"/>
    </row>
    <row r="669" spans="1:14">
      <c r="A669" s="13"/>
      <c r="B669" s="46" t="str">
        <f t="shared" ref="B669:D672" si="47">B294</f>
        <v>Y7-Y8</v>
      </c>
      <c r="C669" s="1">
        <f t="shared" si="47"/>
        <v>3</v>
      </c>
      <c r="D669" s="5">
        <f t="shared" si="47"/>
        <v>2.5</v>
      </c>
      <c r="E669" s="5"/>
      <c r="F669" s="5">
        <f t="shared" ref="F669:F680" si="48">(F294*2)+0.23</f>
        <v>1.43</v>
      </c>
      <c r="G669" s="4">
        <f>C669*D669*F669</f>
        <v>10.725</v>
      </c>
      <c r="H669" s="1" t="s">
        <v>17</v>
      </c>
      <c r="I669" s="9"/>
      <c r="J669" s="46"/>
      <c r="K669" s="1"/>
      <c r="L669" s="5"/>
      <c r="M669" s="5"/>
      <c r="N669" s="5"/>
    </row>
    <row r="670" spans="1:14">
      <c r="A670" s="13"/>
      <c r="B670" s="46" t="str">
        <f t="shared" si="47"/>
        <v>Y8-Y9</v>
      </c>
      <c r="C670" s="1">
        <f t="shared" si="47"/>
        <v>3</v>
      </c>
      <c r="D670" s="5">
        <f t="shared" si="47"/>
        <v>2.5</v>
      </c>
      <c r="E670" s="5"/>
      <c r="F670" s="5">
        <f t="shared" si="48"/>
        <v>1.43</v>
      </c>
      <c r="G670" s="4">
        <f t="shared" ref="G670:G680" si="49">C670*D670*F670</f>
        <v>10.725</v>
      </c>
      <c r="H670" s="1" t="s">
        <v>10</v>
      </c>
      <c r="I670" s="9"/>
      <c r="J670" s="46"/>
      <c r="K670" s="1"/>
      <c r="L670" s="5"/>
      <c r="M670" s="5"/>
      <c r="N670" s="5"/>
    </row>
    <row r="671" spans="1:14">
      <c r="A671" s="13"/>
      <c r="B671" s="46" t="str">
        <f t="shared" si="47"/>
        <v>Y9-Y10</v>
      </c>
      <c r="C671" s="1">
        <f t="shared" si="47"/>
        <v>5</v>
      </c>
      <c r="D671" s="5">
        <f t="shared" si="47"/>
        <v>5</v>
      </c>
      <c r="E671" s="5"/>
      <c r="F671" s="5">
        <f t="shared" si="48"/>
        <v>1.43</v>
      </c>
      <c r="G671" s="4">
        <f t="shared" si="49"/>
        <v>35.75</v>
      </c>
      <c r="H671" s="1" t="s">
        <v>10</v>
      </c>
      <c r="I671" s="9"/>
      <c r="J671" s="46"/>
      <c r="K671" s="1"/>
      <c r="L671" s="5"/>
      <c r="M671" s="5"/>
      <c r="N671" s="5"/>
    </row>
    <row r="672" spans="1:14">
      <c r="A672" s="13"/>
      <c r="B672" s="46" t="str">
        <f t="shared" si="47"/>
        <v>Y10-Y11</v>
      </c>
      <c r="C672" s="1">
        <f t="shared" si="47"/>
        <v>5</v>
      </c>
      <c r="D672" s="5">
        <f t="shared" si="47"/>
        <v>5</v>
      </c>
      <c r="E672" s="5"/>
      <c r="F672" s="5">
        <f t="shared" si="48"/>
        <v>1.43</v>
      </c>
      <c r="G672" s="4">
        <f t="shared" si="49"/>
        <v>35.75</v>
      </c>
      <c r="H672" s="1" t="s">
        <v>10</v>
      </c>
      <c r="I672" s="9"/>
      <c r="J672" s="46"/>
      <c r="K672" s="1"/>
      <c r="L672" s="5"/>
      <c r="M672" s="5"/>
      <c r="N672" s="5"/>
    </row>
    <row r="673" spans="1:14">
      <c r="A673" s="13"/>
      <c r="B673" s="46"/>
      <c r="C673" s="1">
        <f t="shared" ref="C673:D681" si="50">C298</f>
        <v>3</v>
      </c>
      <c r="D673" s="5">
        <f t="shared" si="50"/>
        <v>1.2749999999999999</v>
      </c>
      <c r="E673" s="5"/>
      <c r="F673" s="5">
        <f t="shared" si="48"/>
        <v>1.43</v>
      </c>
      <c r="G673" s="4">
        <f t="shared" si="49"/>
        <v>5.4697499999999994</v>
      </c>
      <c r="H673" s="1" t="s">
        <v>10</v>
      </c>
      <c r="I673" s="9"/>
      <c r="J673" s="46"/>
      <c r="K673" s="1"/>
      <c r="L673" s="5"/>
      <c r="M673" s="5"/>
      <c r="N673" s="5"/>
    </row>
    <row r="674" spans="1:14">
      <c r="A674" s="13"/>
      <c r="B674" s="46" t="str">
        <f t="shared" ref="B674:B681" si="51">B299</f>
        <v>X2-X3</v>
      </c>
      <c r="C674" s="1">
        <f t="shared" si="50"/>
        <v>3</v>
      </c>
      <c r="D674" s="5">
        <f t="shared" si="50"/>
        <v>1.2</v>
      </c>
      <c r="E674" s="5"/>
      <c r="F674" s="5">
        <f t="shared" si="48"/>
        <v>1.1300000000000001</v>
      </c>
      <c r="G674" s="4">
        <f t="shared" si="49"/>
        <v>4.0679999999999996</v>
      </c>
      <c r="H674" s="1" t="s">
        <v>10</v>
      </c>
      <c r="I674" s="9"/>
      <c r="J674" s="46"/>
      <c r="K674" s="1"/>
      <c r="L674" s="5"/>
      <c r="M674" s="5"/>
      <c r="N674" s="5"/>
    </row>
    <row r="675" spans="1:14">
      <c r="A675" s="13"/>
      <c r="B675" s="46" t="str">
        <f t="shared" si="51"/>
        <v>X3-X4</v>
      </c>
      <c r="C675" s="1">
        <f t="shared" si="50"/>
        <v>3</v>
      </c>
      <c r="D675" s="5">
        <f t="shared" si="50"/>
        <v>4.5</v>
      </c>
      <c r="E675" s="5"/>
      <c r="F675" s="5">
        <f t="shared" si="48"/>
        <v>1.43</v>
      </c>
      <c r="G675" s="4">
        <f t="shared" si="49"/>
        <v>19.305</v>
      </c>
      <c r="H675" s="1" t="s">
        <v>10</v>
      </c>
      <c r="I675" s="9"/>
      <c r="J675" s="46"/>
      <c r="K675" s="1"/>
      <c r="L675" s="5"/>
      <c r="M675" s="5"/>
      <c r="N675" s="5"/>
    </row>
    <row r="676" spans="1:14">
      <c r="A676" s="13"/>
      <c r="B676" s="46" t="str">
        <f t="shared" si="51"/>
        <v>X4-X5</v>
      </c>
      <c r="C676" s="1">
        <f t="shared" si="50"/>
        <v>3</v>
      </c>
      <c r="D676" s="5">
        <f t="shared" si="50"/>
        <v>4.5</v>
      </c>
      <c r="E676" s="5"/>
      <c r="F676" s="5">
        <f t="shared" si="48"/>
        <v>1.43</v>
      </c>
      <c r="G676" s="4">
        <f t="shared" si="49"/>
        <v>19.305</v>
      </c>
      <c r="H676" s="1" t="s">
        <v>10</v>
      </c>
      <c r="I676" s="9"/>
      <c r="J676" s="46"/>
      <c r="K676" s="1"/>
      <c r="L676" s="5"/>
      <c r="M676" s="5"/>
      <c r="N676" s="5"/>
    </row>
    <row r="677" spans="1:14">
      <c r="A677" s="13"/>
      <c r="B677" s="46" t="str">
        <f t="shared" si="51"/>
        <v>X5-X6</v>
      </c>
      <c r="C677" s="1">
        <f t="shared" si="50"/>
        <v>4</v>
      </c>
      <c r="D677" s="5">
        <f t="shared" si="50"/>
        <v>2.5</v>
      </c>
      <c r="E677" s="5"/>
      <c r="F677" s="5">
        <f t="shared" si="48"/>
        <v>1.43</v>
      </c>
      <c r="G677" s="4">
        <f t="shared" si="49"/>
        <v>14.299999999999999</v>
      </c>
      <c r="H677" s="1" t="s">
        <v>10</v>
      </c>
      <c r="I677" s="9"/>
      <c r="J677" s="46"/>
      <c r="K677" s="1"/>
      <c r="L677" s="5"/>
      <c r="M677" s="5"/>
      <c r="N677" s="5"/>
    </row>
    <row r="678" spans="1:14">
      <c r="A678" s="13"/>
      <c r="B678" s="46" t="str">
        <f t="shared" si="51"/>
        <v>X6-X7</v>
      </c>
      <c r="C678" s="1">
        <f t="shared" si="50"/>
        <v>4</v>
      </c>
      <c r="D678" s="5">
        <f t="shared" si="50"/>
        <v>2.5</v>
      </c>
      <c r="E678" s="5"/>
      <c r="F678" s="5">
        <f t="shared" si="48"/>
        <v>1.43</v>
      </c>
      <c r="G678" s="4">
        <f t="shared" si="49"/>
        <v>14.299999999999999</v>
      </c>
      <c r="H678" s="1" t="s">
        <v>10</v>
      </c>
      <c r="I678" s="9"/>
      <c r="J678" s="46"/>
      <c r="K678" s="1"/>
      <c r="L678" s="5"/>
      <c r="M678" s="5"/>
      <c r="N678" s="5"/>
    </row>
    <row r="679" spans="1:14">
      <c r="A679" s="13"/>
      <c r="B679" s="46" t="str">
        <f t="shared" si="51"/>
        <v>X7-X8</v>
      </c>
      <c r="C679" s="1">
        <f t="shared" si="50"/>
        <v>4</v>
      </c>
      <c r="D679" s="5">
        <f t="shared" si="50"/>
        <v>1.25</v>
      </c>
      <c r="E679" s="5"/>
      <c r="F679" s="5">
        <f t="shared" si="48"/>
        <v>1.43</v>
      </c>
      <c r="G679" s="4">
        <f t="shared" si="49"/>
        <v>7.1499999999999995</v>
      </c>
      <c r="H679" s="1" t="s">
        <v>10</v>
      </c>
      <c r="I679" s="9"/>
      <c r="J679" s="46"/>
      <c r="K679" s="1"/>
      <c r="L679" s="5"/>
      <c r="M679" s="5"/>
      <c r="N679" s="5"/>
    </row>
    <row r="680" spans="1:14">
      <c r="A680" s="13"/>
      <c r="B680" s="46" t="str">
        <f t="shared" si="51"/>
        <v>X8-X9</v>
      </c>
      <c r="C680" s="1">
        <f t="shared" si="50"/>
        <v>4</v>
      </c>
      <c r="D680" s="5">
        <f t="shared" si="50"/>
        <v>3.75</v>
      </c>
      <c r="E680" s="5"/>
      <c r="F680" s="5">
        <f t="shared" si="48"/>
        <v>1.43</v>
      </c>
      <c r="G680" s="4">
        <f t="shared" si="49"/>
        <v>21.45</v>
      </c>
      <c r="H680" s="1" t="s">
        <v>10</v>
      </c>
      <c r="I680" s="9"/>
      <c r="J680" s="46"/>
      <c r="K680" s="1"/>
      <c r="L680" s="5"/>
      <c r="M680" s="5"/>
      <c r="N680" s="5"/>
    </row>
    <row r="681" spans="1:14">
      <c r="A681" s="13"/>
      <c r="B681" s="46" t="str">
        <f t="shared" si="51"/>
        <v>Elevation Wall</v>
      </c>
      <c r="C681" s="1">
        <f t="shared" si="50"/>
        <v>1</v>
      </c>
      <c r="D681" s="5">
        <f t="shared" si="50"/>
        <v>42</v>
      </c>
      <c r="E681" s="5"/>
      <c r="F681" s="5">
        <f>(F306*2)+0.45</f>
        <v>1.35</v>
      </c>
      <c r="G681" s="4">
        <f>C681*D681*F681</f>
        <v>56.7</v>
      </c>
      <c r="H681" s="1" t="s">
        <v>10</v>
      </c>
      <c r="I681" s="9"/>
      <c r="J681" s="46"/>
      <c r="K681" s="1"/>
      <c r="L681" s="5"/>
      <c r="M681" s="5"/>
      <c r="N681" s="5"/>
    </row>
    <row r="682" spans="1:14">
      <c r="A682" s="13"/>
      <c r="B682" s="46"/>
      <c r="C682" s="1"/>
      <c r="D682" s="5"/>
      <c r="E682" s="5"/>
      <c r="F682" s="5"/>
      <c r="G682" s="4"/>
      <c r="H682" s="1"/>
      <c r="I682" s="9"/>
      <c r="J682" s="18"/>
    </row>
    <row r="683" spans="1:14">
      <c r="A683" s="13"/>
      <c r="B683" s="9"/>
      <c r="C683" s="1"/>
      <c r="D683" s="1"/>
      <c r="E683" s="1"/>
      <c r="F683" s="34" t="s">
        <v>11</v>
      </c>
      <c r="G683" s="53">
        <f>SUM(G669:G682)</f>
        <v>254.99775000000005</v>
      </c>
      <c r="H683" s="50" t="s">
        <v>17</v>
      </c>
      <c r="I683" s="9"/>
      <c r="J683" s="18"/>
    </row>
    <row r="684" spans="1:14">
      <c r="A684" s="13"/>
      <c r="B684" s="9"/>
      <c r="C684" s="1"/>
      <c r="D684" s="1"/>
      <c r="E684" s="1"/>
      <c r="F684" s="56" t="s">
        <v>13</v>
      </c>
      <c r="G684" s="27">
        <f>ROUNDUP(G683,0)</f>
        <v>255</v>
      </c>
      <c r="H684" s="28" t="s">
        <v>17</v>
      </c>
      <c r="I684" s="9"/>
      <c r="J684" s="18"/>
    </row>
    <row r="685" spans="1:14">
      <c r="A685" s="13"/>
      <c r="C685" s="1"/>
      <c r="D685" s="1"/>
      <c r="E685" s="1"/>
      <c r="F685" s="1"/>
      <c r="G685" s="33"/>
      <c r="H685" s="24"/>
      <c r="I685" s="9"/>
      <c r="J685" s="18"/>
    </row>
    <row r="686" spans="1:14">
      <c r="A686" s="13"/>
      <c r="B686" s="15" t="s">
        <v>463</v>
      </c>
      <c r="C686" s="1"/>
      <c r="D686" s="1"/>
      <c r="E686" s="1"/>
      <c r="F686" s="1"/>
      <c r="G686" s="33"/>
      <c r="H686" s="24"/>
      <c r="I686" s="9"/>
      <c r="J686" s="18"/>
    </row>
    <row r="687" spans="1:14">
      <c r="A687" s="13"/>
      <c r="B687" s="46" t="str">
        <f t="shared" ref="B687:D688" si="52">B312</f>
        <v>Head Room</v>
      </c>
      <c r="C687" s="1">
        <f t="shared" si="52"/>
        <v>2</v>
      </c>
      <c r="D687" s="1">
        <f t="shared" si="52"/>
        <v>6.5</v>
      </c>
      <c r="E687" s="1"/>
      <c r="F687" s="5">
        <f>(F312*2)+E312</f>
        <v>4.25</v>
      </c>
      <c r="G687" s="4">
        <f>C687*D687*F687</f>
        <v>55.25</v>
      </c>
      <c r="H687" s="1" t="s">
        <v>17</v>
      </c>
      <c r="I687" s="9"/>
      <c r="J687" s="18"/>
    </row>
    <row r="688" spans="1:14">
      <c r="A688" s="13"/>
      <c r="B688" s="46" t="str">
        <f t="shared" si="52"/>
        <v>OH Tank</v>
      </c>
      <c r="C688" s="1">
        <f t="shared" si="52"/>
        <v>2</v>
      </c>
      <c r="D688" s="1">
        <f t="shared" si="52"/>
        <v>10</v>
      </c>
      <c r="E688" s="1"/>
      <c r="F688" s="5">
        <f>(F313*2)+E313</f>
        <v>1.2</v>
      </c>
      <c r="G688" s="4">
        <f>C688*D688*F688</f>
        <v>24</v>
      </c>
      <c r="H688" s="1" t="s">
        <v>10</v>
      </c>
      <c r="I688" s="9"/>
      <c r="J688" s="18"/>
    </row>
    <row r="689" spans="1:10">
      <c r="A689" s="13"/>
      <c r="B689" s="1"/>
      <c r="C689" s="1">
        <f>C314</f>
        <v>3</v>
      </c>
      <c r="D689" s="1">
        <f>D314</f>
        <v>5</v>
      </c>
      <c r="E689" s="1"/>
      <c r="F689" s="5">
        <f>(F314*2)+E314</f>
        <v>1.2</v>
      </c>
      <c r="G689" s="4">
        <f>C689*D689*F689</f>
        <v>18</v>
      </c>
      <c r="H689" s="1" t="s">
        <v>10</v>
      </c>
      <c r="I689" s="9"/>
      <c r="J689" s="18"/>
    </row>
    <row r="690" spans="1:10">
      <c r="A690" s="13"/>
      <c r="B690" s="46" t="str">
        <f>B315</f>
        <v>Fire Tank/Raw Tank</v>
      </c>
      <c r="C690" s="1">
        <f>C315</f>
        <v>5</v>
      </c>
      <c r="D690" s="1">
        <f>D315</f>
        <v>5</v>
      </c>
      <c r="E690" s="1"/>
      <c r="F690" s="5">
        <f>(F315*2)+E315</f>
        <v>1.2</v>
      </c>
      <c r="G690" s="4">
        <f>C690*D690*F690</f>
        <v>30</v>
      </c>
      <c r="H690" s="1" t="s">
        <v>10</v>
      </c>
      <c r="I690" s="9"/>
      <c r="J690" s="18"/>
    </row>
    <row r="691" spans="1:10">
      <c r="A691" s="13"/>
      <c r="B691" s="9"/>
      <c r="C691" s="1"/>
      <c r="D691" s="1"/>
      <c r="E691" s="1"/>
      <c r="F691" s="1"/>
      <c r="G691" s="33"/>
      <c r="H691" s="24"/>
      <c r="I691" s="9"/>
      <c r="J691" s="18"/>
    </row>
    <row r="692" spans="1:10">
      <c r="A692" s="13"/>
      <c r="B692" s="9"/>
      <c r="C692" s="1"/>
      <c r="D692" s="1"/>
      <c r="E692" s="1"/>
      <c r="F692" s="34" t="s">
        <v>11</v>
      </c>
      <c r="G692" s="53">
        <f>SUM(G687:G691)</f>
        <v>127.25</v>
      </c>
      <c r="H692" s="50" t="s">
        <v>17</v>
      </c>
      <c r="I692" s="9"/>
      <c r="J692" s="18"/>
    </row>
    <row r="693" spans="1:10">
      <c r="A693" s="13"/>
      <c r="B693" s="9"/>
      <c r="C693" s="1"/>
      <c r="D693" s="1"/>
      <c r="E693" s="1"/>
      <c r="F693" s="56" t="s">
        <v>13</v>
      </c>
      <c r="G693" s="27">
        <f>ROUNDUP(G692,0)</f>
        <v>128</v>
      </c>
      <c r="H693" s="28" t="s">
        <v>17</v>
      </c>
      <c r="I693" s="9"/>
      <c r="J693" s="18"/>
    </row>
    <row r="694" spans="1:10">
      <c r="A694" s="13"/>
      <c r="B694" s="9"/>
      <c r="C694" s="1"/>
      <c r="D694" s="1"/>
      <c r="E694" s="1"/>
      <c r="F694" s="1"/>
      <c r="G694" s="33"/>
      <c r="H694" s="24"/>
      <c r="I694" s="9"/>
      <c r="J694" s="18"/>
    </row>
    <row r="695" spans="1:10">
      <c r="A695" s="18">
        <f>A605+1</f>
        <v>22</v>
      </c>
      <c r="B695" s="9" t="s">
        <v>32</v>
      </c>
      <c r="C695" s="1"/>
      <c r="D695" s="1"/>
      <c r="E695" s="1"/>
      <c r="F695" s="1"/>
      <c r="G695" s="33"/>
      <c r="H695" s="24"/>
      <c r="I695" s="9"/>
      <c r="J695" s="18"/>
    </row>
    <row r="696" spans="1:10">
      <c r="A696" s="13"/>
      <c r="B696" s="15" t="s">
        <v>56</v>
      </c>
      <c r="C696" s="1"/>
      <c r="D696" s="5"/>
      <c r="E696" s="1"/>
      <c r="F696" s="5"/>
      <c r="G696" s="4"/>
      <c r="H696" s="1"/>
      <c r="I696" s="9"/>
      <c r="J696" s="18"/>
    </row>
    <row r="697" spans="1:10">
      <c r="A697" s="13"/>
      <c r="B697" s="46" t="str">
        <f t="shared" ref="B697:D711" si="53">B322</f>
        <v>ED1</v>
      </c>
      <c r="C697" s="1">
        <f t="shared" si="53"/>
        <v>1</v>
      </c>
      <c r="D697" s="5">
        <f t="shared" si="53"/>
        <v>2.2999999999999998</v>
      </c>
      <c r="E697" s="5"/>
      <c r="F697" s="5">
        <f>0.23+0.15+0.15</f>
        <v>0.53</v>
      </c>
      <c r="G697" s="4">
        <f>C697*D697*F697</f>
        <v>1.2189999999999999</v>
      </c>
      <c r="H697" s="1" t="s">
        <v>17</v>
      </c>
      <c r="I697" s="9"/>
      <c r="J697" s="18"/>
    </row>
    <row r="698" spans="1:10">
      <c r="A698" s="13"/>
      <c r="B698" s="46" t="str">
        <f t="shared" si="53"/>
        <v>MSD1</v>
      </c>
      <c r="C698" s="1">
        <f t="shared" si="53"/>
        <v>9</v>
      </c>
      <c r="D698" s="5">
        <f t="shared" si="53"/>
        <v>1.5</v>
      </c>
      <c r="E698" s="5"/>
      <c r="F698" s="5">
        <f t="shared" ref="F698:F710" si="54">0.23+0.15+0.15</f>
        <v>0.53</v>
      </c>
      <c r="G698" s="4">
        <f t="shared" ref="G698:G711" si="55">C698*D698*F698</f>
        <v>7.1550000000000002</v>
      </c>
      <c r="H698" s="1" t="s">
        <v>10</v>
      </c>
      <c r="I698" s="9"/>
      <c r="J698" s="18"/>
    </row>
    <row r="699" spans="1:10">
      <c r="A699" s="13"/>
      <c r="B699" s="46" t="str">
        <f t="shared" si="53"/>
        <v>GD1</v>
      </c>
      <c r="C699" s="1">
        <f t="shared" si="53"/>
        <v>1</v>
      </c>
      <c r="D699" s="5">
        <f t="shared" si="53"/>
        <v>1.8</v>
      </c>
      <c r="E699" s="5"/>
      <c r="F699" s="5">
        <f t="shared" si="54"/>
        <v>0.53</v>
      </c>
      <c r="G699" s="4">
        <f t="shared" si="55"/>
        <v>0.95400000000000007</v>
      </c>
      <c r="H699" s="1" t="s">
        <v>10</v>
      </c>
      <c r="I699" s="9"/>
      <c r="J699" s="18"/>
    </row>
    <row r="700" spans="1:10">
      <c r="A700" s="13"/>
      <c r="B700" s="46" t="str">
        <f t="shared" si="53"/>
        <v>D1</v>
      </c>
      <c r="C700" s="1">
        <f t="shared" si="53"/>
        <v>1</v>
      </c>
      <c r="D700" s="5">
        <f t="shared" si="53"/>
        <v>2.1</v>
      </c>
      <c r="E700" s="5"/>
      <c r="F700" s="5">
        <f t="shared" si="54"/>
        <v>0.53</v>
      </c>
      <c r="G700" s="4">
        <f t="shared" si="55"/>
        <v>1.1130000000000002</v>
      </c>
      <c r="H700" s="1" t="s">
        <v>10</v>
      </c>
      <c r="I700" s="9"/>
      <c r="J700" s="18"/>
    </row>
    <row r="701" spans="1:10">
      <c r="A701" s="13"/>
      <c r="B701" s="46" t="str">
        <f t="shared" si="53"/>
        <v>D2A</v>
      </c>
      <c r="C701" s="1">
        <f t="shared" si="53"/>
        <v>1</v>
      </c>
      <c r="D701" s="5">
        <f t="shared" si="53"/>
        <v>1.8</v>
      </c>
      <c r="E701" s="5"/>
      <c r="F701" s="5">
        <f t="shared" si="54"/>
        <v>0.53</v>
      </c>
      <c r="G701" s="4">
        <f t="shared" si="55"/>
        <v>0.95400000000000007</v>
      </c>
      <c r="H701" s="1" t="s">
        <v>10</v>
      </c>
      <c r="I701" s="9"/>
      <c r="J701" s="18"/>
    </row>
    <row r="702" spans="1:10">
      <c r="A702" s="13"/>
      <c r="B702" s="46" t="str">
        <f t="shared" si="53"/>
        <v>D3</v>
      </c>
      <c r="C702" s="1">
        <f t="shared" si="53"/>
        <v>11</v>
      </c>
      <c r="D702" s="5">
        <f t="shared" si="53"/>
        <v>1.6500000000000001</v>
      </c>
      <c r="E702" s="5"/>
      <c r="F702" s="5">
        <f t="shared" si="54"/>
        <v>0.53</v>
      </c>
      <c r="G702" s="4">
        <f t="shared" si="55"/>
        <v>9.6195000000000022</v>
      </c>
      <c r="H702" s="1" t="s">
        <v>10</v>
      </c>
      <c r="I702" s="9"/>
      <c r="J702" s="18"/>
    </row>
    <row r="703" spans="1:10">
      <c r="A703" s="13"/>
      <c r="B703" s="46" t="str">
        <f t="shared" si="53"/>
        <v>D4</v>
      </c>
      <c r="C703" s="1">
        <f t="shared" si="53"/>
        <v>2</v>
      </c>
      <c r="D703" s="5">
        <f t="shared" si="53"/>
        <v>1.5</v>
      </c>
      <c r="E703" s="5"/>
      <c r="F703" s="5">
        <f t="shared" si="54"/>
        <v>0.53</v>
      </c>
      <c r="G703" s="4">
        <f t="shared" si="55"/>
        <v>1.59</v>
      </c>
      <c r="H703" s="1" t="s">
        <v>10</v>
      </c>
      <c r="I703" s="9"/>
      <c r="J703" s="18"/>
    </row>
    <row r="704" spans="1:10">
      <c r="A704" s="13"/>
      <c r="B704" s="46" t="str">
        <f t="shared" si="53"/>
        <v>D5</v>
      </c>
      <c r="C704" s="1">
        <f t="shared" si="53"/>
        <v>3</v>
      </c>
      <c r="D704" s="5">
        <f t="shared" si="53"/>
        <v>1.35</v>
      </c>
      <c r="E704" s="5"/>
      <c r="F704" s="5">
        <f t="shared" si="54"/>
        <v>0.53</v>
      </c>
      <c r="G704" s="4">
        <f t="shared" si="55"/>
        <v>2.1465000000000005</v>
      </c>
      <c r="H704" s="1" t="s">
        <v>10</v>
      </c>
      <c r="I704" s="9"/>
      <c r="J704" s="18"/>
    </row>
    <row r="705" spans="1:10">
      <c r="A705" s="13"/>
      <c r="B705" s="46" t="str">
        <f t="shared" si="53"/>
        <v>D10</v>
      </c>
      <c r="C705" s="1">
        <f t="shared" si="53"/>
        <v>3</v>
      </c>
      <c r="D705" s="5">
        <f t="shared" si="53"/>
        <v>1.2</v>
      </c>
      <c r="E705" s="5"/>
      <c r="F705" s="5">
        <f t="shared" si="54"/>
        <v>0.53</v>
      </c>
      <c r="G705" s="4">
        <f t="shared" si="55"/>
        <v>1.9079999999999999</v>
      </c>
      <c r="H705" s="1" t="s">
        <v>10</v>
      </c>
      <c r="I705" s="9"/>
      <c r="J705" s="18"/>
    </row>
    <row r="706" spans="1:10">
      <c r="A706" s="13"/>
      <c r="B706" s="46" t="str">
        <f t="shared" si="53"/>
        <v>W1</v>
      </c>
      <c r="C706" s="1">
        <f t="shared" si="53"/>
        <v>9</v>
      </c>
      <c r="D706" s="5">
        <f t="shared" si="53"/>
        <v>2.1</v>
      </c>
      <c r="E706" s="5"/>
      <c r="F706" s="5">
        <f t="shared" si="54"/>
        <v>0.53</v>
      </c>
      <c r="G706" s="4">
        <f t="shared" si="55"/>
        <v>10.017000000000001</v>
      </c>
      <c r="H706" s="1" t="s">
        <v>10</v>
      </c>
      <c r="I706" s="9"/>
      <c r="J706" s="18"/>
    </row>
    <row r="707" spans="1:10">
      <c r="A707" s="13"/>
      <c r="B707" s="46" t="str">
        <f t="shared" si="53"/>
        <v>W6</v>
      </c>
      <c r="C707" s="1">
        <f t="shared" si="53"/>
        <v>2</v>
      </c>
      <c r="D707" s="5">
        <f t="shared" si="53"/>
        <v>0.89999999999999991</v>
      </c>
      <c r="E707" s="5"/>
      <c r="F707" s="5">
        <f t="shared" si="54"/>
        <v>0.53</v>
      </c>
      <c r="G707" s="4">
        <f t="shared" si="55"/>
        <v>0.95399999999999996</v>
      </c>
      <c r="H707" s="1" t="s">
        <v>10</v>
      </c>
      <c r="I707" s="9"/>
      <c r="J707" s="18"/>
    </row>
    <row r="708" spans="1:10">
      <c r="A708" s="13"/>
      <c r="B708" s="46" t="str">
        <f t="shared" si="53"/>
        <v>W7</v>
      </c>
      <c r="C708" s="1">
        <f t="shared" si="53"/>
        <v>2</v>
      </c>
      <c r="D708" s="5">
        <f t="shared" si="53"/>
        <v>0.75</v>
      </c>
      <c r="E708" s="5"/>
      <c r="F708" s="5">
        <f t="shared" si="54"/>
        <v>0.53</v>
      </c>
      <c r="G708" s="4">
        <f t="shared" si="55"/>
        <v>0.79500000000000004</v>
      </c>
      <c r="H708" s="1" t="s">
        <v>10</v>
      </c>
      <c r="I708" s="9"/>
      <c r="J708" s="18"/>
    </row>
    <row r="709" spans="1:10">
      <c r="A709" s="13"/>
      <c r="B709" s="46" t="str">
        <f t="shared" si="53"/>
        <v>V7</v>
      </c>
      <c r="C709" s="1">
        <f t="shared" si="53"/>
        <v>5</v>
      </c>
      <c r="D709" s="5">
        <f t="shared" si="53"/>
        <v>0.89999999999999991</v>
      </c>
      <c r="E709" s="5"/>
      <c r="F709" s="5">
        <f t="shared" si="54"/>
        <v>0.53</v>
      </c>
      <c r="G709" s="4">
        <f t="shared" si="55"/>
        <v>2.3850000000000002</v>
      </c>
      <c r="H709" s="1" t="s">
        <v>10</v>
      </c>
      <c r="I709" s="9"/>
      <c r="J709" s="18"/>
    </row>
    <row r="710" spans="1:10">
      <c r="A710" s="13"/>
      <c r="B710" s="46" t="str">
        <f t="shared" si="53"/>
        <v>RS4</v>
      </c>
      <c r="C710" s="1">
        <f t="shared" si="53"/>
        <v>2</v>
      </c>
      <c r="D710" s="5">
        <f t="shared" si="53"/>
        <v>2.1</v>
      </c>
      <c r="E710" s="5"/>
      <c r="F710" s="5">
        <f t="shared" si="54"/>
        <v>0.53</v>
      </c>
      <c r="G710" s="4">
        <f t="shared" si="55"/>
        <v>2.2260000000000004</v>
      </c>
      <c r="H710" s="1" t="s">
        <v>10</v>
      </c>
      <c r="I710" s="9"/>
      <c r="J710" s="18"/>
    </row>
    <row r="711" spans="1:10">
      <c r="A711" s="13"/>
      <c r="B711" s="46" t="str">
        <f t="shared" si="53"/>
        <v>Partation Wall</v>
      </c>
      <c r="C711" s="1">
        <f t="shared" si="53"/>
        <v>1</v>
      </c>
      <c r="D711" s="5">
        <f t="shared" si="53"/>
        <v>60</v>
      </c>
      <c r="E711" s="5"/>
      <c r="F711" s="5">
        <f>0.115+0.15+0.15</f>
        <v>0.41500000000000004</v>
      </c>
      <c r="G711" s="4">
        <f t="shared" si="55"/>
        <v>24.900000000000002</v>
      </c>
      <c r="H711" s="1" t="s">
        <v>10</v>
      </c>
      <c r="I711" s="9"/>
      <c r="J711" s="18"/>
    </row>
    <row r="712" spans="1:10">
      <c r="A712" s="13"/>
      <c r="B712" s="46"/>
      <c r="C712" s="1"/>
      <c r="D712" s="5"/>
      <c r="E712" s="5"/>
      <c r="F712" s="5"/>
      <c r="G712" s="4"/>
      <c r="H712" s="24"/>
      <c r="I712" s="9"/>
      <c r="J712" s="18"/>
    </row>
    <row r="713" spans="1:10">
      <c r="A713" s="13"/>
      <c r="B713" s="9"/>
      <c r="C713" s="1"/>
      <c r="D713" s="1"/>
      <c r="E713" s="1"/>
      <c r="F713" s="34" t="s">
        <v>11</v>
      </c>
      <c r="G713" s="53">
        <f>SUM(G697:G712)</f>
        <v>67.936000000000007</v>
      </c>
      <c r="H713" s="50" t="s">
        <v>17</v>
      </c>
      <c r="I713" s="9"/>
      <c r="J713" s="18"/>
    </row>
    <row r="714" spans="1:10">
      <c r="A714" s="13"/>
      <c r="B714" s="9"/>
      <c r="C714" s="1"/>
      <c r="D714" s="1"/>
      <c r="E714" s="1"/>
      <c r="F714" s="56" t="s">
        <v>13</v>
      </c>
      <c r="G714" s="27">
        <f>ROUNDUP(G713,0)</f>
        <v>68</v>
      </c>
      <c r="H714" s="28" t="s">
        <v>17</v>
      </c>
      <c r="I714" s="9"/>
      <c r="J714" s="18"/>
    </row>
    <row r="715" spans="1:10">
      <c r="A715" s="13"/>
      <c r="B715" s="9"/>
      <c r="C715" s="1"/>
      <c r="D715" s="1"/>
      <c r="E715" s="1"/>
      <c r="F715" s="1"/>
      <c r="G715" s="33"/>
      <c r="H715" s="24"/>
      <c r="I715" s="9"/>
      <c r="J715" s="18"/>
    </row>
    <row r="716" spans="1:10">
      <c r="A716" s="13"/>
      <c r="B716" s="20" t="str">
        <f t="shared" ref="B716:B727" si="56">B341</f>
        <v>Mezzanine Floor:</v>
      </c>
      <c r="C716" s="1"/>
      <c r="D716" s="5"/>
      <c r="E716" s="1"/>
      <c r="F716" s="5"/>
      <c r="G716" s="4"/>
      <c r="H716" s="1"/>
      <c r="I716" s="9"/>
      <c r="J716" s="18"/>
    </row>
    <row r="717" spans="1:10">
      <c r="A717" s="13"/>
      <c r="B717" s="46" t="str">
        <f t="shared" si="56"/>
        <v>D7A</v>
      </c>
      <c r="C717" s="1">
        <f t="shared" ref="C717:D727" si="57">C342</f>
        <v>6</v>
      </c>
      <c r="D717" s="5">
        <f t="shared" si="57"/>
        <v>1.6500000000000001</v>
      </c>
      <c r="E717" s="5"/>
      <c r="F717" s="5">
        <f>0.23+0.15+0.15</f>
        <v>0.53</v>
      </c>
      <c r="G717" s="4">
        <f>C717*D717*F717</f>
        <v>5.2470000000000008</v>
      </c>
      <c r="H717" s="1" t="s">
        <v>17</v>
      </c>
      <c r="I717" s="9"/>
      <c r="J717" s="18"/>
    </row>
    <row r="718" spans="1:10">
      <c r="A718" s="13"/>
      <c r="B718" s="46" t="str">
        <f t="shared" si="56"/>
        <v>D9</v>
      </c>
      <c r="C718" s="1">
        <f t="shared" si="57"/>
        <v>4</v>
      </c>
      <c r="D718" s="5">
        <f t="shared" si="57"/>
        <v>1.35</v>
      </c>
      <c r="E718" s="5"/>
      <c r="F718" s="5">
        <f t="shared" ref="F718:F726" si="58">0.23+0.15+0.15</f>
        <v>0.53</v>
      </c>
      <c r="G718" s="4">
        <f t="shared" ref="G718:G727" si="59">C718*D718*F718</f>
        <v>2.8620000000000005</v>
      </c>
      <c r="H718" s="1" t="s">
        <v>10</v>
      </c>
      <c r="I718" s="9"/>
      <c r="J718" s="18"/>
    </row>
    <row r="719" spans="1:10">
      <c r="A719" s="13"/>
      <c r="B719" s="46" t="str">
        <f t="shared" si="56"/>
        <v>D10</v>
      </c>
      <c r="C719" s="1">
        <f t="shared" si="57"/>
        <v>2</v>
      </c>
      <c r="D719" s="5">
        <f t="shared" si="57"/>
        <v>1.2</v>
      </c>
      <c r="E719" s="5"/>
      <c r="F719" s="5">
        <f t="shared" si="58"/>
        <v>0.53</v>
      </c>
      <c r="G719" s="4">
        <f t="shared" si="59"/>
        <v>1.272</v>
      </c>
      <c r="H719" s="1" t="s">
        <v>10</v>
      </c>
      <c r="I719" s="9"/>
      <c r="J719" s="18"/>
    </row>
    <row r="720" spans="1:10">
      <c r="A720" s="13"/>
      <c r="B720" s="46" t="str">
        <f t="shared" si="56"/>
        <v>W1</v>
      </c>
      <c r="C720" s="1">
        <f t="shared" si="57"/>
        <v>4</v>
      </c>
      <c r="D720" s="5">
        <f t="shared" si="57"/>
        <v>2.1</v>
      </c>
      <c r="E720" s="5"/>
      <c r="F720" s="5">
        <f t="shared" si="58"/>
        <v>0.53</v>
      </c>
      <c r="G720" s="4">
        <f t="shared" si="59"/>
        <v>4.4520000000000008</v>
      </c>
      <c r="H720" s="1" t="s">
        <v>10</v>
      </c>
      <c r="I720" s="9"/>
      <c r="J720" s="18"/>
    </row>
    <row r="721" spans="1:10">
      <c r="A721" s="13"/>
      <c r="B721" s="46" t="str">
        <f t="shared" si="56"/>
        <v>W3</v>
      </c>
      <c r="C721" s="1">
        <f t="shared" si="57"/>
        <v>2</v>
      </c>
      <c r="D721" s="5">
        <f t="shared" si="57"/>
        <v>1.5</v>
      </c>
      <c r="E721" s="5"/>
      <c r="F721" s="5">
        <f t="shared" si="58"/>
        <v>0.53</v>
      </c>
      <c r="G721" s="4">
        <f t="shared" si="59"/>
        <v>1.59</v>
      </c>
      <c r="H721" s="1" t="s">
        <v>10</v>
      </c>
      <c r="I721" s="9"/>
      <c r="J721" s="18"/>
    </row>
    <row r="722" spans="1:10">
      <c r="A722" s="13"/>
      <c r="B722" s="46" t="str">
        <f t="shared" si="56"/>
        <v>W3A</v>
      </c>
      <c r="C722" s="1">
        <f t="shared" si="57"/>
        <v>2</v>
      </c>
      <c r="D722" s="5">
        <f t="shared" si="57"/>
        <v>1.5</v>
      </c>
      <c r="E722" s="5"/>
      <c r="F722" s="5">
        <f t="shared" si="58"/>
        <v>0.53</v>
      </c>
      <c r="G722" s="4">
        <f t="shared" si="59"/>
        <v>1.59</v>
      </c>
      <c r="H722" s="1" t="s">
        <v>10</v>
      </c>
      <c r="I722" s="9"/>
      <c r="J722" s="18"/>
    </row>
    <row r="723" spans="1:10">
      <c r="A723" s="13"/>
      <c r="B723" s="46" t="str">
        <f t="shared" si="56"/>
        <v>W7</v>
      </c>
      <c r="C723" s="1">
        <f t="shared" si="57"/>
        <v>2</v>
      </c>
      <c r="D723" s="5">
        <f t="shared" si="57"/>
        <v>0.75</v>
      </c>
      <c r="E723" s="5"/>
      <c r="F723" s="5">
        <f t="shared" si="58"/>
        <v>0.53</v>
      </c>
      <c r="G723" s="4">
        <f t="shared" si="59"/>
        <v>0.79500000000000004</v>
      </c>
      <c r="H723" s="1" t="s">
        <v>10</v>
      </c>
      <c r="I723" s="9"/>
      <c r="J723" s="18"/>
    </row>
    <row r="724" spans="1:10">
      <c r="A724" s="13"/>
      <c r="B724" s="46" t="str">
        <f t="shared" si="56"/>
        <v>V5</v>
      </c>
      <c r="C724" s="1">
        <f t="shared" si="57"/>
        <v>4</v>
      </c>
      <c r="D724" s="5">
        <f t="shared" si="57"/>
        <v>1.2</v>
      </c>
      <c r="E724" s="5"/>
      <c r="F724" s="5">
        <f t="shared" si="58"/>
        <v>0.53</v>
      </c>
      <c r="G724" s="4">
        <f t="shared" si="59"/>
        <v>2.544</v>
      </c>
      <c r="H724" s="1" t="s">
        <v>10</v>
      </c>
      <c r="I724" s="9"/>
      <c r="J724" s="18"/>
    </row>
    <row r="725" spans="1:10">
      <c r="A725" s="13"/>
      <c r="B725" s="46" t="str">
        <f t="shared" si="56"/>
        <v>V6</v>
      </c>
      <c r="C725" s="1">
        <f t="shared" si="57"/>
        <v>5</v>
      </c>
      <c r="D725" s="5">
        <f t="shared" si="57"/>
        <v>1.35</v>
      </c>
      <c r="E725" s="5"/>
      <c r="F725" s="5">
        <f t="shared" si="58"/>
        <v>0.53</v>
      </c>
      <c r="G725" s="4">
        <f t="shared" si="59"/>
        <v>3.5775000000000001</v>
      </c>
      <c r="H725" s="1" t="s">
        <v>10</v>
      </c>
      <c r="I725" s="9"/>
      <c r="J725" s="18"/>
    </row>
    <row r="726" spans="1:10">
      <c r="A726" s="13"/>
      <c r="B726" s="46" t="str">
        <f t="shared" si="56"/>
        <v>V7</v>
      </c>
      <c r="C726" s="1">
        <f t="shared" si="57"/>
        <v>3</v>
      </c>
      <c r="D726" s="5">
        <f t="shared" si="57"/>
        <v>1.2</v>
      </c>
      <c r="E726" s="5"/>
      <c r="F726" s="5">
        <f t="shared" si="58"/>
        <v>0.53</v>
      </c>
      <c r="G726" s="4">
        <f t="shared" si="59"/>
        <v>1.9079999999999999</v>
      </c>
      <c r="H726" s="1" t="s">
        <v>10</v>
      </c>
      <c r="I726" s="9"/>
      <c r="J726" s="18"/>
    </row>
    <row r="727" spans="1:10">
      <c r="A727" s="13"/>
      <c r="B727" s="46" t="str">
        <f t="shared" si="56"/>
        <v>Partation Wall</v>
      </c>
      <c r="C727" s="1">
        <f t="shared" si="57"/>
        <v>1</v>
      </c>
      <c r="D727" s="5">
        <f t="shared" si="57"/>
        <v>116</v>
      </c>
      <c r="E727" s="5"/>
      <c r="F727" s="5">
        <f>0.115+0.15+0.15</f>
        <v>0.41500000000000004</v>
      </c>
      <c r="G727" s="4">
        <f t="shared" si="59"/>
        <v>48.14</v>
      </c>
      <c r="H727" s="1" t="s">
        <v>10</v>
      </c>
      <c r="I727" s="9"/>
      <c r="J727" s="18"/>
    </row>
    <row r="728" spans="1:10">
      <c r="A728" s="13"/>
      <c r="B728" s="46"/>
      <c r="C728" s="1"/>
      <c r="D728" s="5"/>
      <c r="E728" s="5"/>
      <c r="F728" s="5"/>
      <c r="G728" s="4"/>
      <c r="H728" s="1"/>
      <c r="I728" s="9"/>
      <c r="J728" s="18"/>
    </row>
    <row r="729" spans="1:10">
      <c r="A729" s="13"/>
      <c r="B729" s="9"/>
      <c r="C729" s="1"/>
      <c r="D729" s="1"/>
      <c r="E729" s="1"/>
      <c r="F729" s="34" t="s">
        <v>11</v>
      </c>
      <c r="G729" s="53">
        <f>SUM(G717:G728)</f>
        <v>73.977500000000006</v>
      </c>
      <c r="H729" s="50" t="s">
        <v>17</v>
      </c>
      <c r="I729" s="9"/>
      <c r="J729" s="4"/>
    </row>
    <row r="730" spans="1:10">
      <c r="A730" s="13"/>
      <c r="B730" s="9"/>
      <c r="C730" s="1"/>
      <c r="D730" s="1"/>
      <c r="E730" s="1"/>
      <c r="F730" s="56" t="s">
        <v>13</v>
      </c>
      <c r="G730" s="27">
        <f>ROUNDUP(G729,0)</f>
        <v>74</v>
      </c>
      <c r="H730" s="28" t="s">
        <v>17</v>
      </c>
      <c r="I730" s="9"/>
      <c r="J730" s="4"/>
    </row>
    <row r="731" spans="1:10">
      <c r="A731" s="13"/>
      <c r="B731" s="9"/>
      <c r="C731" s="1"/>
      <c r="D731" s="1"/>
      <c r="E731" s="1"/>
      <c r="F731" s="1"/>
      <c r="G731" s="33"/>
      <c r="H731" s="24"/>
      <c r="I731" s="9"/>
      <c r="J731" s="4"/>
    </row>
    <row r="732" spans="1:10">
      <c r="A732" s="13"/>
      <c r="B732" s="15" t="str">
        <f t="shared" ref="B732:B738" si="60">B357</f>
        <v>First Floor:</v>
      </c>
      <c r="C732" s="1"/>
      <c r="D732" s="5"/>
      <c r="E732" s="1"/>
      <c r="F732" s="5"/>
      <c r="G732" s="4"/>
      <c r="H732" s="1"/>
      <c r="I732" s="9"/>
      <c r="J732" s="4"/>
    </row>
    <row r="733" spans="1:10">
      <c r="A733" s="13"/>
      <c r="B733" s="46" t="str">
        <f t="shared" si="60"/>
        <v>D7A</v>
      </c>
      <c r="C733" s="1">
        <f t="shared" ref="C733:D738" si="61">C358</f>
        <v>5</v>
      </c>
      <c r="D733" s="5">
        <f t="shared" si="61"/>
        <v>1.6500000000000001</v>
      </c>
      <c r="E733" s="5"/>
      <c r="F733" s="5">
        <f>0.23+0.15+0.15</f>
        <v>0.53</v>
      </c>
      <c r="G733" s="4">
        <f t="shared" ref="G733:G738" si="62">C733*D733*F733</f>
        <v>4.3725000000000005</v>
      </c>
      <c r="H733" s="1" t="s">
        <v>17</v>
      </c>
      <c r="I733" s="9"/>
      <c r="J733" s="4"/>
    </row>
    <row r="734" spans="1:10">
      <c r="A734" s="13"/>
      <c r="B734" s="46" t="str">
        <f t="shared" si="60"/>
        <v>D9</v>
      </c>
      <c r="C734" s="1">
        <f t="shared" si="61"/>
        <v>2</v>
      </c>
      <c r="D734" s="5">
        <f t="shared" si="61"/>
        <v>1.5</v>
      </c>
      <c r="E734" s="5"/>
      <c r="F734" s="5">
        <f>0.23+0.15+0.15</f>
        <v>0.53</v>
      </c>
      <c r="G734" s="4">
        <f t="shared" si="62"/>
        <v>1.59</v>
      </c>
      <c r="H734" s="1" t="s">
        <v>10</v>
      </c>
      <c r="I734" s="9"/>
      <c r="J734" s="4"/>
    </row>
    <row r="735" spans="1:10">
      <c r="A735" s="13"/>
      <c r="B735" s="46" t="str">
        <f t="shared" si="60"/>
        <v>W1</v>
      </c>
      <c r="C735" s="1">
        <f t="shared" si="61"/>
        <v>6</v>
      </c>
      <c r="D735" s="5">
        <f t="shared" si="61"/>
        <v>2.2999999999999998</v>
      </c>
      <c r="E735" s="5"/>
      <c r="F735" s="5">
        <f>0.23+0.15+0.15</f>
        <v>0.53</v>
      </c>
      <c r="G735" s="4">
        <f t="shared" si="62"/>
        <v>7.3140000000000001</v>
      </c>
      <c r="H735" s="1" t="s">
        <v>10</v>
      </c>
      <c r="I735" s="9"/>
      <c r="J735" s="4"/>
    </row>
    <row r="736" spans="1:10">
      <c r="A736" s="13"/>
      <c r="B736" s="46" t="str">
        <f t="shared" si="60"/>
        <v>V6</v>
      </c>
      <c r="C736" s="1">
        <f t="shared" si="61"/>
        <v>7</v>
      </c>
      <c r="D736" s="5">
        <f t="shared" si="61"/>
        <v>1.7</v>
      </c>
      <c r="E736" s="5"/>
      <c r="F736" s="5">
        <f>0.23+0.15+0.15</f>
        <v>0.53</v>
      </c>
      <c r="G736" s="4">
        <f t="shared" si="62"/>
        <v>6.3070000000000004</v>
      </c>
      <c r="H736" s="1" t="s">
        <v>10</v>
      </c>
      <c r="I736" s="9"/>
      <c r="J736" s="4"/>
    </row>
    <row r="737" spans="1:13">
      <c r="A737" s="13"/>
      <c r="B737" s="46" t="str">
        <f t="shared" si="60"/>
        <v>V7</v>
      </c>
      <c r="C737" s="1">
        <f t="shared" si="61"/>
        <v>4</v>
      </c>
      <c r="D737" s="5">
        <f t="shared" si="61"/>
        <v>1.4</v>
      </c>
      <c r="E737" s="5"/>
      <c r="F737" s="5">
        <f>0.23+0.15+0.15</f>
        <v>0.53</v>
      </c>
      <c r="G737" s="4">
        <f t="shared" si="62"/>
        <v>2.968</v>
      </c>
      <c r="H737" s="1" t="s">
        <v>10</v>
      </c>
      <c r="I737" s="9"/>
      <c r="J737" s="4"/>
    </row>
    <row r="738" spans="1:13">
      <c r="A738" s="13"/>
      <c r="B738" s="46" t="str">
        <f t="shared" si="60"/>
        <v>Partation Wall</v>
      </c>
      <c r="C738" s="1">
        <f t="shared" si="61"/>
        <v>1</v>
      </c>
      <c r="D738" s="5">
        <f t="shared" si="61"/>
        <v>61</v>
      </c>
      <c r="E738" s="5"/>
      <c r="F738" s="5">
        <f>0.115+0.15+0.15</f>
        <v>0.41500000000000004</v>
      </c>
      <c r="G738" s="4">
        <f t="shared" si="62"/>
        <v>25.315000000000001</v>
      </c>
      <c r="H738" s="1" t="s">
        <v>10</v>
      </c>
      <c r="I738" s="9"/>
      <c r="J738" s="4"/>
    </row>
    <row r="739" spans="1:13">
      <c r="A739" s="13"/>
      <c r="B739" s="46"/>
      <c r="C739" s="1"/>
      <c r="D739" s="5"/>
      <c r="E739" s="5"/>
      <c r="F739" s="5"/>
      <c r="G739" s="4"/>
      <c r="H739" s="1"/>
      <c r="I739" s="9"/>
      <c r="J739" s="4"/>
    </row>
    <row r="740" spans="1:13">
      <c r="A740" s="13"/>
      <c r="B740" s="9"/>
      <c r="C740" s="1"/>
      <c r="D740" s="1"/>
      <c r="E740" s="1"/>
      <c r="F740" s="34" t="s">
        <v>11</v>
      </c>
      <c r="G740" s="53">
        <f>SUM(G733:G739)</f>
        <v>47.866500000000002</v>
      </c>
      <c r="H740" s="50" t="s">
        <v>17</v>
      </c>
      <c r="I740" s="9"/>
      <c r="J740" s="4"/>
    </row>
    <row r="741" spans="1:13">
      <c r="A741" s="13"/>
      <c r="B741" s="9"/>
      <c r="C741" s="1"/>
      <c r="D741" s="1"/>
      <c r="E741" s="1"/>
      <c r="F741" s="56" t="s">
        <v>13</v>
      </c>
      <c r="G741" s="27">
        <f>ROUNDUP(G740,0)</f>
        <v>48</v>
      </c>
      <c r="H741" s="28" t="s">
        <v>17</v>
      </c>
      <c r="I741" s="9"/>
      <c r="J741" s="4"/>
    </row>
    <row r="742" spans="1:13">
      <c r="A742" s="13"/>
      <c r="B742" s="9"/>
      <c r="C742" s="1"/>
      <c r="D742" s="1"/>
      <c r="E742" s="1"/>
      <c r="F742" s="1"/>
      <c r="G742" s="33"/>
      <c r="H742" s="24"/>
      <c r="I742" s="9"/>
      <c r="J742" s="4"/>
    </row>
    <row r="743" spans="1:13">
      <c r="A743" s="18">
        <f>A695+1</f>
        <v>23</v>
      </c>
      <c r="B743" s="9" t="s">
        <v>90</v>
      </c>
      <c r="C743" s="1"/>
      <c r="D743" s="1"/>
      <c r="E743" s="1"/>
      <c r="F743" s="5"/>
      <c r="G743" s="33"/>
      <c r="H743" s="24"/>
      <c r="I743" s="46"/>
      <c r="J743" s="1"/>
      <c r="K743" s="5"/>
      <c r="L743" s="5"/>
      <c r="M743" s="5"/>
    </row>
    <row r="744" spans="1:13">
      <c r="A744" s="18"/>
      <c r="B744" s="15" t="s">
        <v>56</v>
      </c>
      <c r="C744" s="1"/>
      <c r="D744" s="1"/>
      <c r="E744" s="1"/>
      <c r="F744" s="5"/>
      <c r="G744" s="33"/>
      <c r="H744" s="24"/>
      <c r="I744" s="46"/>
      <c r="J744" s="1"/>
      <c r="K744" s="5"/>
      <c r="L744" s="5"/>
      <c r="M744" s="5"/>
    </row>
    <row r="745" spans="1:13">
      <c r="A745" s="13"/>
      <c r="C745" s="1">
        <v>27</v>
      </c>
      <c r="D745" s="5">
        <v>1.6</v>
      </c>
      <c r="E745" s="5"/>
      <c r="F745" s="5">
        <v>0.3</v>
      </c>
      <c r="G745" s="4">
        <f t="shared" ref="G745:G750" si="63">C745*D745*F745</f>
        <v>12.96</v>
      </c>
      <c r="H745" s="1" t="s">
        <v>17</v>
      </c>
      <c r="I745" s="46"/>
      <c r="J745" s="1"/>
      <c r="K745" s="5"/>
      <c r="L745" s="5"/>
      <c r="M745" s="5"/>
    </row>
    <row r="746" spans="1:13">
      <c r="A746" s="13"/>
      <c r="B746" s="46"/>
      <c r="C746" s="1">
        <v>27</v>
      </c>
      <c r="D746" s="5">
        <v>0.3</v>
      </c>
      <c r="E746" s="5"/>
      <c r="F746" s="5">
        <v>0.3</v>
      </c>
      <c r="G746" s="4">
        <f t="shared" si="63"/>
        <v>2.4299999999999997</v>
      </c>
      <c r="H746" s="1" t="s">
        <v>10</v>
      </c>
      <c r="I746" s="46"/>
      <c r="J746" s="1"/>
      <c r="K746" s="5"/>
      <c r="L746" s="5"/>
      <c r="M746" s="5"/>
    </row>
    <row r="747" spans="1:13">
      <c r="A747" s="13"/>
      <c r="B747" s="9"/>
      <c r="C747" s="1">
        <v>27</v>
      </c>
      <c r="D747" s="5">
        <v>0.3</v>
      </c>
      <c r="E747" s="5"/>
      <c r="F747" s="5">
        <v>0.15</v>
      </c>
      <c r="G747" s="4">
        <f t="shared" si="63"/>
        <v>1.2149999999999999</v>
      </c>
      <c r="H747" s="1" t="s">
        <v>10</v>
      </c>
      <c r="I747" s="46"/>
      <c r="J747" s="1"/>
      <c r="K747" s="5"/>
      <c r="L747" s="5"/>
      <c r="M747" s="5"/>
    </row>
    <row r="748" spans="1:13">
      <c r="A748" s="13"/>
      <c r="B748" s="9"/>
      <c r="C748" s="1">
        <v>27</v>
      </c>
      <c r="D748" s="5">
        <v>1.35</v>
      </c>
      <c r="E748" s="5"/>
      <c r="F748" s="5">
        <v>0.3</v>
      </c>
      <c r="G748" s="4">
        <f t="shared" si="63"/>
        <v>10.935</v>
      </c>
      <c r="H748" s="1" t="s">
        <v>10</v>
      </c>
      <c r="I748" s="46"/>
      <c r="J748" s="1"/>
      <c r="K748" s="5"/>
      <c r="L748" s="5"/>
      <c r="M748" s="5"/>
    </row>
    <row r="749" spans="1:13">
      <c r="A749" s="13"/>
      <c r="B749" s="9"/>
      <c r="C749" s="1">
        <v>27</v>
      </c>
      <c r="D749" s="5">
        <v>0.3</v>
      </c>
      <c r="E749" s="5"/>
      <c r="F749" s="5">
        <v>0.3</v>
      </c>
      <c r="G749" s="4">
        <f t="shared" si="63"/>
        <v>2.4299999999999997</v>
      </c>
      <c r="H749" s="1" t="s">
        <v>10</v>
      </c>
      <c r="I749" s="46"/>
      <c r="J749" s="1"/>
      <c r="K749" s="5"/>
      <c r="L749" s="5"/>
      <c r="M749" s="1"/>
    </row>
    <row r="750" spans="1:13">
      <c r="A750" s="13"/>
      <c r="B750" s="9"/>
      <c r="C750" s="1">
        <v>27</v>
      </c>
      <c r="D750" s="5">
        <v>0.3</v>
      </c>
      <c r="E750" s="5"/>
      <c r="F750" s="5">
        <v>0.15</v>
      </c>
      <c r="G750" s="4">
        <f t="shared" si="63"/>
        <v>1.2149999999999999</v>
      </c>
      <c r="H750" s="1" t="s">
        <v>10</v>
      </c>
      <c r="I750" s="46"/>
      <c r="J750" s="1"/>
      <c r="K750" s="5"/>
      <c r="L750" s="5"/>
      <c r="M750" s="1"/>
    </row>
    <row r="751" spans="1:13">
      <c r="A751" s="13"/>
      <c r="B751" s="9"/>
      <c r="C751" s="1"/>
      <c r="D751" s="1"/>
      <c r="E751" s="1"/>
      <c r="F751" s="1"/>
      <c r="G751" s="33"/>
      <c r="H751" s="24"/>
      <c r="I751" s="46"/>
      <c r="J751" s="1"/>
      <c r="K751" s="5"/>
      <c r="L751" s="5"/>
      <c r="M751" s="1"/>
    </row>
    <row r="752" spans="1:13">
      <c r="A752" s="13"/>
      <c r="B752" s="9"/>
      <c r="C752" s="1"/>
      <c r="D752" s="1"/>
      <c r="E752" s="1"/>
      <c r="F752" s="34" t="s">
        <v>11</v>
      </c>
      <c r="G752" s="53">
        <f>SUM(G745:G751)</f>
        <v>31.184999999999999</v>
      </c>
      <c r="H752" s="50" t="s">
        <v>17</v>
      </c>
      <c r="I752" s="46"/>
      <c r="J752" s="1"/>
      <c r="K752" s="5"/>
      <c r="L752" s="5"/>
      <c r="M752" s="1"/>
    </row>
    <row r="753" spans="1:14">
      <c r="A753" s="13"/>
      <c r="B753" s="9"/>
      <c r="C753" s="1"/>
      <c r="D753" s="1"/>
      <c r="E753" s="1"/>
      <c r="F753" s="56" t="s">
        <v>13</v>
      </c>
      <c r="G753" s="27">
        <f>ROUNDUP(G752,0)</f>
        <v>32</v>
      </c>
      <c r="H753" s="28" t="s">
        <v>17</v>
      </c>
      <c r="I753" s="46"/>
      <c r="J753" s="1"/>
      <c r="K753" s="5"/>
      <c r="L753" s="5"/>
      <c r="M753" s="1"/>
    </row>
    <row r="754" spans="1:14">
      <c r="A754" s="13"/>
      <c r="B754" s="9"/>
      <c r="C754" s="1"/>
      <c r="D754" s="1"/>
      <c r="E754" s="1"/>
      <c r="F754" s="1"/>
      <c r="G754" s="33"/>
      <c r="H754" s="24"/>
      <c r="I754" s="46"/>
      <c r="J754" s="1"/>
      <c r="K754" s="5"/>
      <c r="L754" s="5"/>
      <c r="M754" s="5"/>
    </row>
    <row r="755" spans="1:14">
      <c r="A755" s="13"/>
      <c r="B755" s="15" t="s">
        <v>445</v>
      </c>
      <c r="C755" s="1">
        <v>25</v>
      </c>
      <c r="D755" s="5">
        <v>1.35</v>
      </c>
      <c r="E755" s="5"/>
      <c r="F755" s="5">
        <v>0.3</v>
      </c>
      <c r="G755" s="4">
        <f>C755*D755*F755</f>
        <v>10.125</v>
      </c>
      <c r="H755" s="1" t="s">
        <v>17</v>
      </c>
      <c r="I755" s="9"/>
      <c r="J755" s="1"/>
      <c r="K755" s="1"/>
      <c r="L755" s="1"/>
      <c r="M755" s="24"/>
    </row>
    <row r="756" spans="1:14">
      <c r="A756" s="13"/>
      <c r="B756" s="46"/>
      <c r="C756" s="1">
        <v>25</v>
      </c>
      <c r="D756" s="5">
        <v>0.3</v>
      </c>
      <c r="E756" s="5"/>
      <c r="F756" s="5">
        <v>0.3</v>
      </c>
      <c r="G756" s="4">
        <f>C756*D756*F756</f>
        <v>2.25</v>
      </c>
      <c r="H756" s="1" t="s">
        <v>10</v>
      </c>
      <c r="I756" s="9"/>
      <c r="J756" s="1"/>
      <c r="K756" s="1"/>
      <c r="L756" s="1"/>
      <c r="M756" s="1"/>
    </row>
    <row r="757" spans="1:14">
      <c r="A757" s="13"/>
      <c r="B757" s="9"/>
      <c r="C757" s="1">
        <v>25</v>
      </c>
      <c r="D757" s="5">
        <v>0.3</v>
      </c>
      <c r="E757" s="5"/>
      <c r="F757" s="5">
        <v>0.15</v>
      </c>
      <c r="G757" s="4">
        <f>C757*D757*F757</f>
        <v>1.125</v>
      </c>
      <c r="H757" s="1" t="s">
        <v>10</v>
      </c>
      <c r="I757" s="9"/>
      <c r="J757" s="1"/>
      <c r="K757" s="1"/>
      <c r="L757" s="1"/>
      <c r="M757" s="1"/>
    </row>
    <row r="758" spans="1:14">
      <c r="A758" s="13"/>
      <c r="B758" s="9"/>
      <c r="C758" s="1"/>
      <c r="D758" s="1"/>
      <c r="E758" s="1"/>
      <c r="F758" s="1"/>
      <c r="G758" s="33"/>
      <c r="H758" s="24"/>
      <c r="I758" s="15"/>
      <c r="J758" s="1"/>
      <c r="K758" s="5"/>
      <c r="L758" s="1"/>
      <c r="M758" s="5"/>
    </row>
    <row r="759" spans="1:14">
      <c r="A759" s="13"/>
      <c r="B759" s="9"/>
      <c r="C759" s="1"/>
      <c r="D759" s="1"/>
      <c r="E759" s="1"/>
      <c r="F759" s="34" t="s">
        <v>11</v>
      </c>
      <c r="G759" s="53">
        <f>SUM(G755:G758)</f>
        <v>13.5</v>
      </c>
      <c r="H759" s="50" t="s">
        <v>17</v>
      </c>
      <c r="I759" s="46"/>
      <c r="J759" s="1"/>
      <c r="K759" s="5"/>
      <c r="L759" s="5"/>
      <c r="M759" s="5"/>
    </row>
    <row r="760" spans="1:14">
      <c r="A760" s="13"/>
      <c r="B760" s="9"/>
      <c r="C760" s="1"/>
      <c r="D760" s="1"/>
      <c r="E760" s="1"/>
      <c r="F760" s="56" t="s">
        <v>13</v>
      </c>
      <c r="G760" s="27">
        <f>ROUNDUP(G759,0)</f>
        <v>14</v>
      </c>
      <c r="H760" s="28" t="s">
        <v>17</v>
      </c>
      <c r="I760" s="46"/>
      <c r="J760" s="1"/>
      <c r="K760" s="5"/>
      <c r="L760" s="5"/>
      <c r="M760" s="5"/>
    </row>
    <row r="761" spans="1:14">
      <c r="A761" s="13"/>
      <c r="B761" s="9"/>
      <c r="C761" s="1"/>
      <c r="D761" s="1"/>
      <c r="E761" s="1"/>
      <c r="F761" s="1"/>
      <c r="G761" s="33"/>
      <c r="H761" s="24"/>
      <c r="I761" s="46"/>
      <c r="J761" s="1"/>
      <c r="K761" s="5"/>
      <c r="L761" s="5"/>
      <c r="M761" s="5"/>
    </row>
    <row r="762" spans="1:14">
      <c r="A762" s="13"/>
      <c r="B762" s="15" t="s">
        <v>57</v>
      </c>
      <c r="C762" s="1">
        <v>25</v>
      </c>
      <c r="D762" s="5">
        <v>1.35</v>
      </c>
      <c r="E762" s="5"/>
      <c r="F762" s="5">
        <v>0.3</v>
      </c>
      <c r="G762" s="4">
        <f>C762*D762*F762</f>
        <v>10.125</v>
      </c>
      <c r="H762" s="1" t="s">
        <v>17</v>
      </c>
      <c r="I762" s="9"/>
      <c r="J762" s="1"/>
      <c r="K762" s="1"/>
      <c r="L762" s="1"/>
      <c r="M762" s="1"/>
      <c r="N762" s="5"/>
    </row>
    <row r="763" spans="1:14">
      <c r="A763" s="13"/>
      <c r="B763" s="46"/>
      <c r="C763" s="1">
        <v>25</v>
      </c>
      <c r="D763" s="5">
        <v>0.3</v>
      </c>
      <c r="E763" s="5"/>
      <c r="F763" s="5">
        <v>0.3</v>
      </c>
      <c r="G763" s="4">
        <f>C763*D763*F763</f>
        <v>2.25</v>
      </c>
      <c r="H763" s="1" t="s">
        <v>10</v>
      </c>
      <c r="I763" s="9"/>
      <c r="J763" s="1"/>
      <c r="K763" s="1"/>
      <c r="L763" s="1"/>
      <c r="M763" s="24"/>
      <c r="N763" s="5"/>
    </row>
    <row r="764" spans="1:14">
      <c r="A764" s="13"/>
      <c r="B764" s="9"/>
      <c r="C764" s="1">
        <v>25</v>
      </c>
      <c r="D764" s="5">
        <v>0.3</v>
      </c>
      <c r="E764" s="5"/>
      <c r="F764" s="5">
        <v>0.15</v>
      </c>
      <c r="G764" s="4">
        <f>C764*D764*F764</f>
        <v>1.125</v>
      </c>
      <c r="H764" s="1" t="s">
        <v>10</v>
      </c>
      <c r="I764" s="9"/>
      <c r="J764" s="1"/>
      <c r="K764" s="1"/>
      <c r="L764" s="1"/>
      <c r="M764" s="1"/>
      <c r="N764" s="5"/>
    </row>
    <row r="765" spans="1:14">
      <c r="A765" s="13"/>
      <c r="B765" s="9"/>
      <c r="C765" s="1"/>
      <c r="D765" s="1"/>
      <c r="E765" s="1"/>
      <c r="F765" s="1"/>
      <c r="G765" s="33"/>
      <c r="H765" s="24"/>
      <c r="I765" s="9"/>
      <c r="J765" s="1"/>
      <c r="K765" s="5"/>
      <c r="L765" s="5"/>
      <c r="M765" s="5"/>
      <c r="N765" s="5"/>
    </row>
    <row r="766" spans="1:14">
      <c r="A766" s="13"/>
      <c r="B766" s="9"/>
      <c r="C766" s="1"/>
      <c r="D766" s="1"/>
      <c r="E766" s="1"/>
      <c r="F766" s="34" t="s">
        <v>11</v>
      </c>
      <c r="G766" s="53">
        <f>SUM(G762:G765)</f>
        <v>13.5</v>
      </c>
      <c r="H766" s="50" t="s">
        <v>17</v>
      </c>
      <c r="I766" s="15"/>
      <c r="J766" s="1"/>
      <c r="K766" s="5"/>
      <c r="L766" s="5"/>
      <c r="M766" s="5"/>
      <c r="N766" s="5"/>
    </row>
    <row r="767" spans="1:14">
      <c r="A767" s="13"/>
      <c r="B767" s="9"/>
      <c r="C767" s="1"/>
      <c r="D767" s="1"/>
      <c r="E767" s="1"/>
      <c r="F767" s="56" t="s">
        <v>13</v>
      </c>
      <c r="G767" s="27">
        <f>ROUNDUP(G766,0)</f>
        <v>14</v>
      </c>
      <c r="H767" s="28" t="s">
        <v>17</v>
      </c>
      <c r="I767" s="46"/>
      <c r="J767" s="1"/>
      <c r="K767" s="5"/>
      <c r="L767" s="5"/>
      <c r="M767" s="5"/>
      <c r="N767" s="5"/>
    </row>
    <row r="768" spans="1:14">
      <c r="A768" s="13"/>
      <c r="B768" s="9"/>
      <c r="C768" s="1"/>
      <c r="D768" s="1"/>
      <c r="E768" s="1"/>
      <c r="F768" s="1"/>
      <c r="G768" s="33"/>
      <c r="H768" s="24"/>
      <c r="I768" s="46"/>
      <c r="N768" s="5"/>
    </row>
    <row r="769" spans="1:14">
      <c r="A769" s="18">
        <f>A743+1</f>
        <v>24</v>
      </c>
      <c r="B769" s="9" t="s">
        <v>81</v>
      </c>
      <c r="I769" s="46"/>
      <c r="N769" s="5"/>
    </row>
    <row r="770" spans="1:14">
      <c r="A770" s="13"/>
      <c r="B770" s="15" t="s">
        <v>56</v>
      </c>
      <c r="C770" s="1"/>
      <c r="D770" s="5"/>
      <c r="E770" s="1"/>
      <c r="F770" s="5"/>
      <c r="G770" s="4"/>
      <c r="H770" s="1"/>
      <c r="I770" s="9"/>
      <c r="J770" s="1"/>
      <c r="K770" s="1"/>
      <c r="L770" s="1"/>
      <c r="M770" s="1"/>
      <c r="N770" s="5"/>
    </row>
    <row r="771" spans="1:14">
      <c r="A771" s="13"/>
      <c r="B771" s="46"/>
      <c r="C771" s="1">
        <f t="shared" ref="C771:E775" si="64">C403</f>
        <v>1</v>
      </c>
      <c r="D771" s="1">
        <f t="shared" si="64"/>
        <v>895</v>
      </c>
      <c r="E771" s="1" t="str">
        <f t="shared" si="64"/>
        <v>Sqm</v>
      </c>
      <c r="F771" s="5"/>
      <c r="G771" s="4">
        <f>C771*D771</f>
        <v>895</v>
      </c>
      <c r="H771" s="1" t="s">
        <v>17</v>
      </c>
      <c r="I771" s="9"/>
      <c r="J771" s="46"/>
      <c r="K771" s="1"/>
      <c r="L771" s="5"/>
      <c r="M771" s="5"/>
      <c r="N771" s="5"/>
    </row>
    <row r="772" spans="1:14">
      <c r="A772" s="13"/>
      <c r="B772" s="46"/>
      <c r="C772" s="1">
        <f t="shared" si="64"/>
        <v>2</v>
      </c>
      <c r="D772" s="5">
        <f t="shared" si="64"/>
        <v>5.5</v>
      </c>
      <c r="E772" s="5">
        <f t="shared" si="64"/>
        <v>1.02</v>
      </c>
      <c r="F772" s="5"/>
      <c r="G772" s="4">
        <f>C772*D772*E772</f>
        <v>11.22</v>
      </c>
      <c r="H772" s="1" t="s">
        <v>10</v>
      </c>
      <c r="I772" s="9"/>
      <c r="J772" s="46"/>
      <c r="K772" s="1"/>
      <c r="L772" s="5"/>
      <c r="M772" s="5"/>
      <c r="N772" s="5"/>
    </row>
    <row r="773" spans="1:14">
      <c r="A773" s="13"/>
      <c r="B773" s="46"/>
      <c r="C773" s="1">
        <f t="shared" si="64"/>
        <v>1</v>
      </c>
      <c r="D773" s="1">
        <f t="shared" si="64"/>
        <v>17.010000000000002</v>
      </c>
      <c r="E773" s="5">
        <f t="shared" si="64"/>
        <v>1.3</v>
      </c>
      <c r="F773" s="5"/>
      <c r="G773" s="4">
        <f t="shared" ref="G773:G781" si="65">C773*D773*E773</f>
        <v>22.113000000000003</v>
      </c>
      <c r="H773" s="1" t="s">
        <v>10</v>
      </c>
      <c r="I773" s="9"/>
      <c r="J773" s="46"/>
      <c r="K773" s="1"/>
      <c r="L773" s="5"/>
      <c r="M773" s="5"/>
      <c r="N773" s="5"/>
    </row>
    <row r="774" spans="1:14">
      <c r="A774" s="13"/>
      <c r="B774" s="46"/>
      <c r="C774" s="1">
        <f t="shared" si="64"/>
        <v>1</v>
      </c>
      <c r="D774" s="1">
        <f t="shared" si="64"/>
        <v>25.77</v>
      </c>
      <c r="E774" s="1">
        <f t="shared" si="64"/>
        <v>9.77</v>
      </c>
      <c r="F774" s="5"/>
      <c r="G774" s="4">
        <f t="shared" si="65"/>
        <v>251.77289999999999</v>
      </c>
      <c r="H774" s="1" t="s">
        <v>10</v>
      </c>
      <c r="I774" s="9"/>
      <c r="J774" s="4"/>
    </row>
    <row r="775" spans="1:14">
      <c r="A775" s="13"/>
      <c r="B775" s="46"/>
      <c r="C775" s="1">
        <f t="shared" si="64"/>
        <v>1</v>
      </c>
      <c r="D775" s="5">
        <f t="shared" si="64"/>
        <v>4.7699999999999996</v>
      </c>
      <c r="E775" s="1">
        <f t="shared" si="64"/>
        <v>4.7699999999999996</v>
      </c>
      <c r="F775" s="1"/>
      <c r="G775" s="4">
        <f t="shared" si="65"/>
        <v>22.752899999999997</v>
      </c>
      <c r="H775" s="1" t="s">
        <v>10</v>
      </c>
      <c r="I775" s="9"/>
      <c r="J775" s="4"/>
    </row>
    <row r="776" spans="1:14">
      <c r="A776" s="13"/>
      <c r="B776" s="46" t="s">
        <v>554</v>
      </c>
      <c r="C776" s="1">
        <v>1</v>
      </c>
      <c r="D776" s="5">
        <v>0.9</v>
      </c>
      <c r="E776" s="5">
        <v>1.2</v>
      </c>
      <c r="F776" s="1"/>
      <c r="G776" s="4">
        <f t="shared" si="65"/>
        <v>1.08</v>
      </c>
      <c r="H776" s="1" t="s">
        <v>10</v>
      </c>
      <c r="I776" s="9"/>
      <c r="J776" s="4"/>
    </row>
    <row r="777" spans="1:14">
      <c r="A777" s="13"/>
      <c r="B777" s="9"/>
      <c r="C777" s="1">
        <v>5</v>
      </c>
      <c r="D777" s="5">
        <v>1.3</v>
      </c>
      <c r="E777" s="5">
        <v>1.2</v>
      </c>
      <c r="F777" s="1"/>
      <c r="G777" s="4">
        <f t="shared" si="65"/>
        <v>7.8</v>
      </c>
      <c r="H777" s="1" t="s">
        <v>10</v>
      </c>
      <c r="I777" s="9"/>
      <c r="J777" s="4"/>
    </row>
    <row r="778" spans="1:14">
      <c r="A778" s="13"/>
      <c r="B778" s="9"/>
      <c r="C778" s="1">
        <v>1</v>
      </c>
      <c r="D778" s="5">
        <v>1.72</v>
      </c>
      <c r="E778" s="5">
        <v>1.2</v>
      </c>
      <c r="F778" s="1"/>
      <c r="G778" s="4">
        <f t="shared" si="65"/>
        <v>2.0640000000000001</v>
      </c>
      <c r="H778" s="1" t="s">
        <v>10</v>
      </c>
      <c r="I778" s="9"/>
      <c r="J778" s="4"/>
    </row>
    <row r="779" spans="1:14">
      <c r="A779" s="13"/>
      <c r="B779" s="9"/>
      <c r="C779" s="1">
        <v>1</v>
      </c>
      <c r="D779" s="5">
        <v>2.5750000000000002</v>
      </c>
      <c r="E779" s="5">
        <v>4.7699999999999996</v>
      </c>
      <c r="F779" s="1"/>
      <c r="G779" s="4">
        <f t="shared" si="65"/>
        <v>12.28275</v>
      </c>
      <c r="H779" s="1" t="s">
        <v>10</v>
      </c>
      <c r="I779" s="9"/>
      <c r="J779" s="4"/>
    </row>
    <row r="780" spans="1:14">
      <c r="A780" s="13"/>
      <c r="B780" s="9"/>
      <c r="C780" s="1">
        <v>1</v>
      </c>
      <c r="D780" s="5">
        <v>2.77</v>
      </c>
      <c r="E780" s="5">
        <v>2.5750000000000002</v>
      </c>
      <c r="F780" s="1"/>
      <c r="G780" s="4">
        <f t="shared" si="65"/>
        <v>7.1327500000000006</v>
      </c>
      <c r="H780" s="1" t="s">
        <v>10</v>
      </c>
      <c r="I780" s="9"/>
      <c r="J780" s="4"/>
    </row>
    <row r="781" spans="1:14">
      <c r="A781" s="13"/>
      <c r="B781" s="9"/>
      <c r="C781" s="1">
        <v>1</v>
      </c>
      <c r="D781" s="5">
        <v>3.2349999999999999</v>
      </c>
      <c r="E781" s="5">
        <v>4.2699999999999996</v>
      </c>
      <c r="F781" s="1"/>
      <c r="G781" s="4">
        <f t="shared" si="65"/>
        <v>13.813449999999998</v>
      </c>
      <c r="H781" s="1" t="s">
        <v>10</v>
      </c>
      <c r="I781" s="9"/>
      <c r="J781" s="4"/>
    </row>
    <row r="782" spans="1:14">
      <c r="A782" s="13"/>
      <c r="B782" s="9"/>
      <c r="C782" s="1"/>
      <c r="D782" s="5"/>
      <c r="E782" s="1"/>
      <c r="F782" s="1"/>
      <c r="G782" s="4"/>
      <c r="I782" s="9"/>
      <c r="J782" s="4"/>
    </row>
    <row r="783" spans="1:14">
      <c r="A783" s="13"/>
      <c r="B783" s="9"/>
      <c r="C783" s="1"/>
      <c r="D783" s="1"/>
      <c r="E783" s="1"/>
      <c r="F783" s="34" t="s">
        <v>11</v>
      </c>
      <c r="G783" s="53">
        <f>SUM(G771:G782)</f>
        <v>1247.0317500000001</v>
      </c>
      <c r="H783" s="50" t="s">
        <v>17</v>
      </c>
      <c r="I783" s="9"/>
      <c r="J783" s="4"/>
    </row>
    <row r="784" spans="1:14">
      <c r="A784" s="13"/>
      <c r="B784" s="6"/>
      <c r="C784" s="1"/>
      <c r="D784" s="1"/>
      <c r="E784" s="1"/>
      <c r="F784" s="56" t="s">
        <v>13</v>
      </c>
      <c r="G784" s="27">
        <f>ROUNDUP(G783,0)</f>
        <v>1248</v>
      </c>
      <c r="H784" s="28" t="s">
        <v>17</v>
      </c>
      <c r="I784" s="9"/>
      <c r="J784" s="4"/>
    </row>
    <row r="785" spans="1:10">
      <c r="A785" s="13"/>
      <c r="B785" s="6"/>
      <c r="C785" s="1"/>
      <c r="D785" s="1"/>
      <c r="E785" s="1"/>
      <c r="F785" s="1"/>
      <c r="G785" s="33"/>
      <c r="H785" s="24"/>
      <c r="I785" s="9"/>
      <c r="J785" s="4"/>
    </row>
    <row r="786" spans="1:10">
      <c r="A786" s="13"/>
      <c r="B786" s="15" t="s">
        <v>445</v>
      </c>
      <c r="C786" s="1"/>
      <c r="D786" s="5"/>
      <c r="E786" s="1"/>
      <c r="F786" s="5"/>
      <c r="G786" s="4"/>
      <c r="H786" s="1"/>
      <c r="I786" s="9"/>
      <c r="J786" s="4"/>
    </row>
    <row r="787" spans="1:10">
      <c r="A787" s="13"/>
      <c r="B787" s="46"/>
      <c r="C787" s="1">
        <f t="shared" ref="C787:E789" si="66">C420</f>
        <v>1</v>
      </c>
      <c r="D787" s="5">
        <f t="shared" si="66"/>
        <v>583</v>
      </c>
      <c r="E787" s="5" t="str">
        <f t="shared" si="66"/>
        <v>Sqm</v>
      </c>
      <c r="F787" s="5"/>
      <c r="G787" s="4">
        <f>C787*D787</f>
        <v>583</v>
      </c>
      <c r="H787" s="1" t="s">
        <v>17</v>
      </c>
      <c r="I787" s="9"/>
      <c r="J787" s="4"/>
    </row>
    <row r="788" spans="1:10">
      <c r="A788" s="13"/>
      <c r="B788" s="46"/>
      <c r="C788" s="1">
        <f t="shared" si="66"/>
        <v>1</v>
      </c>
      <c r="D788" s="5">
        <f t="shared" si="66"/>
        <v>269.10000000000002</v>
      </c>
      <c r="E788" s="5" t="str">
        <f t="shared" si="66"/>
        <v>Sqm</v>
      </c>
      <c r="F788" s="5"/>
      <c r="G788" s="4">
        <f>C788*D788</f>
        <v>269.10000000000002</v>
      </c>
      <c r="H788" s="1" t="s">
        <v>10</v>
      </c>
      <c r="I788" s="9"/>
      <c r="J788" s="4"/>
    </row>
    <row r="789" spans="1:10">
      <c r="A789" s="13"/>
      <c r="B789" s="9"/>
      <c r="C789" s="1">
        <f t="shared" si="66"/>
        <v>1</v>
      </c>
      <c r="D789" s="5">
        <f t="shared" si="66"/>
        <v>5.23</v>
      </c>
      <c r="E789" s="5">
        <f t="shared" si="66"/>
        <v>5.23</v>
      </c>
      <c r="F789" s="1"/>
      <c r="G789" s="4">
        <f>C789*D789*E789</f>
        <v>27.352900000000005</v>
      </c>
      <c r="I789" s="9"/>
      <c r="J789" s="4"/>
    </row>
    <row r="790" spans="1:10">
      <c r="A790" s="13"/>
      <c r="B790" s="9"/>
      <c r="C790" s="1"/>
      <c r="D790" s="5"/>
      <c r="E790" s="1"/>
      <c r="F790" s="1"/>
      <c r="G790" s="4"/>
      <c r="I790" s="9"/>
      <c r="J790" s="4"/>
    </row>
    <row r="791" spans="1:10">
      <c r="A791" s="13"/>
      <c r="B791" s="9"/>
      <c r="C791" s="1"/>
      <c r="D791" s="1"/>
      <c r="E791" s="1"/>
      <c r="F791" s="34" t="s">
        <v>11</v>
      </c>
      <c r="G791" s="53">
        <f>SUM(G787:G790)</f>
        <v>879.4529</v>
      </c>
      <c r="H791" s="50" t="s">
        <v>17</v>
      </c>
      <c r="I791" s="9"/>
      <c r="J791" s="4"/>
    </row>
    <row r="792" spans="1:10">
      <c r="A792" s="13"/>
      <c r="B792" s="6"/>
      <c r="C792" s="1"/>
      <c r="D792" s="1"/>
      <c r="E792" s="1"/>
      <c r="F792" s="56" t="s">
        <v>13</v>
      </c>
      <c r="G792" s="27">
        <f>ROUNDUP(G791,0)</f>
        <v>880</v>
      </c>
      <c r="H792" s="28" t="s">
        <v>17</v>
      </c>
      <c r="I792" s="9"/>
      <c r="J792" s="4"/>
    </row>
    <row r="793" spans="1:10">
      <c r="A793" s="13"/>
      <c r="B793" s="6"/>
      <c r="C793" s="1"/>
      <c r="D793" s="1"/>
      <c r="E793" s="1"/>
      <c r="F793" s="1"/>
      <c r="G793" s="33"/>
      <c r="H793" s="24"/>
      <c r="I793" s="9"/>
      <c r="J793" s="4"/>
    </row>
    <row r="794" spans="1:10">
      <c r="A794" s="13"/>
      <c r="B794" s="15" t="s">
        <v>57</v>
      </c>
      <c r="C794" s="1"/>
      <c r="D794" s="5"/>
      <c r="E794" s="1"/>
      <c r="F794" s="5"/>
      <c r="G794" s="4"/>
      <c r="H794" s="1"/>
      <c r="I794" s="9"/>
      <c r="J794" s="4"/>
    </row>
    <row r="795" spans="1:10">
      <c r="A795" s="13"/>
      <c r="B795" s="46"/>
      <c r="C795" s="1">
        <f t="shared" ref="C795:E796" si="67">C428</f>
        <v>1</v>
      </c>
      <c r="D795" s="1">
        <f t="shared" si="67"/>
        <v>280</v>
      </c>
      <c r="E795" s="1" t="str">
        <f t="shared" si="67"/>
        <v>Sqm</v>
      </c>
      <c r="F795" s="5"/>
      <c r="G795" s="4">
        <f>C795*D795</f>
        <v>280</v>
      </c>
      <c r="H795" s="1" t="s">
        <v>17</v>
      </c>
      <c r="I795" s="9"/>
      <c r="J795" s="4"/>
    </row>
    <row r="796" spans="1:10">
      <c r="A796" s="13"/>
      <c r="B796" s="46"/>
      <c r="C796" s="1">
        <f t="shared" si="67"/>
        <v>1</v>
      </c>
      <c r="D796" s="1">
        <f t="shared" si="67"/>
        <v>19.5</v>
      </c>
      <c r="E796" s="1">
        <f t="shared" si="67"/>
        <v>3.3</v>
      </c>
      <c r="F796" s="5"/>
      <c r="G796" s="4">
        <f>C796*D796*E796</f>
        <v>64.349999999999994</v>
      </c>
      <c r="H796" s="1" t="s">
        <v>10</v>
      </c>
      <c r="I796" s="9"/>
      <c r="J796" s="4"/>
    </row>
    <row r="797" spans="1:10">
      <c r="A797" s="13"/>
      <c r="B797" s="46"/>
      <c r="C797" s="1"/>
      <c r="D797" s="5"/>
      <c r="E797" s="5"/>
      <c r="F797" s="5"/>
      <c r="G797" s="4"/>
      <c r="H797" s="1"/>
      <c r="I797" s="9"/>
      <c r="J797" s="4"/>
    </row>
    <row r="798" spans="1:10">
      <c r="A798" s="13"/>
      <c r="B798" s="46"/>
      <c r="C798" s="1"/>
      <c r="D798" s="5"/>
      <c r="E798" s="5"/>
      <c r="F798" s="34" t="s">
        <v>11</v>
      </c>
      <c r="G798" s="53">
        <f>SUM(G795:G797)</f>
        <v>344.35</v>
      </c>
      <c r="H798" s="50" t="s">
        <v>17</v>
      </c>
      <c r="I798" s="9"/>
      <c r="J798" s="4"/>
    </row>
    <row r="799" spans="1:10">
      <c r="A799" s="13"/>
      <c r="B799" s="6"/>
      <c r="C799" s="1"/>
      <c r="D799" s="1"/>
      <c r="E799" s="1"/>
      <c r="F799" s="56" t="s">
        <v>13</v>
      </c>
      <c r="G799" s="27">
        <f>ROUNDUP(G798,0)</f>
        <v>345</v>
      </c>
      <c r="H799" s="28" t="s">
        <v>17</v>
      </c>
      <c r="I799" s="9"/>
      <c r="J799" s="4"/>
    </row>
    <row r="800" spans="1:10">
      <c r="A800" s="13"/>
      <c r="B800" s="6"/>
      <c r="C800" s="1"/>
      <c r="D800" s="1"/>
      <c r="E800" s="1"/>
      <c r="F800" s="1"/>
      <c r="G800" s="33"/>
      <c r="H800" s="24"/>
      <c r="I800" s="9"/>
      <c r="J800" s="4"/>
    </row>
    <row r="801" spans="1:10">
      <c r="A801" s="13"/>
      <c r="B801" s="15" t="s">
        <v>463</v>
      </c>
      <c r="C801" s="1"/>
      <c r="D801" s="5"/>
      <c r="E801" s="1"/>
      <c r="F801" s="5"/>
      <c r="G801" s="4"/>
      <c r="H801" s="1"/>
      <c r="I801" s="9"/>
      <c r="J801" s="4"/>
    </row>
    <row r="802" spans="1:10">
      <c r="A802" s="1"/>
      <c r="B802" s="46" t="str">
        <f t="shared" ref="B802:E804" si="68">B435</f>
        <v>OH Tank</v>
      </c>
      <c r="C802" s="1">
        <f t="shared" si="68"/>
        <v>1</v>
      </c>
      <c r="D802" s="5">
        <f t="shared" si="68"/>
        <v>10.23</v>
      </c>
      <c r="E802" s="1">
        <f t="shared" si="68"/>
        <v>5.38</v>
      </c>
      <c r="F802" s="5"/>
      <c r="G802" s="4">
        <f>C802*D802*E802</f>
        <v>55.037399999999998</v>
      </c>
      <c r="H802" s="1" t="s">
        <v>17</v>
      </c>
      <c r="I802" s="9"/>
      <c r="J802" s="4"/>
    </row>
    <row r="803" spans="1:10">
      <c r="A803" s="13"/>
      <c r="B803" s="46" t="str">
        <f t="shared" si="68"/>
        <v>Raw Water Tank &amp; Fire Tank</v>
      </c>
      <c r="C803" s="1">
        <f t="shared" si="68"/>
        <v>1</v>
      </c>
      <c r="D803" s="5">
        <f t="shared" si="68"/>
        <v>5.38</v>
      </c>
      <c r="E803" s="5">
        <f t="shared" si="68"/>
        <v>5.3</v>
      </c>
      <c r="F803" s="5"/>
      <c r="G803" s="4">
        <f>C803*D803*E803</f>
        <v>28.513999999999999</v>
      </c>
      <c r="H803" s="1" t="s">
        <v>10</v>
      </c>
      <c r="I803" s="9"/>
      <c r="J803" s="4"/>
    </row>
    <row r="804" spans="1:10">
      <c r="A804" s="13"/>
      <c r="B804" s="46" t="str">
        <f t="shared" si="68"/>
        <v>Head Room</v>
      </c>
      <c r="C804" s="1">
        <f t="shared" si="68"/>
        <v>1</v>
      </c>
      <c r="D804" s="5">
        <f t="shared" si="68"/>
        <v>6.5</v>
      </c>
      <c r="E804" s="1">
        <f t="shared" si="68"/>
        <v>3.36</v>
      </c>
      <c r="F804" s="5"/>
      <c r="G804" s="4">
        <f>C804*D804*E804</f>
        <v>21.84</v>
      </c>
      <c r="H804" s="1" t="s">
        <v>10</v>
      </c>
      <c r="I804" s="9"/>
      <c r="J804" s="4"/>
    </row>
    <row r="805" spans="1:10">
      <c r="A805" s="13"/>
      <c r="B805" s="46"/>
      <c r="C805" s="1"/>
      <c r="D805" s="1"/>
      <c r="E805" s="1"/>
      <c r="F805" s="5"/>
      <c r="G805" s="4"/>
      <c r="H805" s="1"/>
      <c r="I805" s="9"/>
      <c r="J805" s="4"/>
    </row>
    <row r="806" spans="1:10">
      <c r="A806" s="13"/>
      <c r="B806" s="46"/>
      <c r="C806" s="1"/>
      <c r="D806" s="5"/>
      <c r="E806" s="5"/>
      <c r="F806" s="34" t="s">
        <v>11</v>
      </c>
      <c r="G806" s="53">
        <f>SUM(G802:G805)</f>
        <v>105.3914</v>
      </c>
      <c r="H806" s="50" t="s">
        <v>17</v>
      </c>
      <c r="I806" s="9"/>
      <c r="J806" s="4"/>
    </row>
    <row r="807" spans="1:10">
      <c r="A807" s="13"/>
      <c r="B807" s="6"/>
      <c r="C807" s="1"/>
      <c r="D807" s="1"/>
      <c r="E807" s="1"/>
      <c r="F807" s="56" t="s">
        <v>13</v>
      </c>
      <c r="G807" s="27">
        <f>ROUNDUP(G806,0)</f>
        <v>106</v>
      </c>
      <c r="H807" s="28" t="s">
        <v>17</v>
      </c>
      <c r="I807" s="9"/>
      <c r="J807" s="4"/>
    </row>
    <row r="808" spans="1:10">
      <c r="A808" s="13"/>
      <c r="B808" s="6"/>
      <c r="C808" s="1"/>
      <c r="D808" s="1"/>
      <c r="E808" s="1"/>
      <c r="F808" s="1"/>
      <c r="G808" s="33"/>
      <c r="H808" s="24"/>
      <c r="I808" s="9"/>
      <c r="J808" s="4"/>
    </row>
    <row r="809" spans="1:10">
      <c r="A809" s="18">
        <f>A769+1</f>
        <v>25</v>
      </c>
      <c r="B809" s="9" t="s">
        <v>124</v>
      </c>
      <c r="I809" s="9"/>
      <c r="J809" s="4"/>
    </row>
    <row r="810" spans="1:10">
      <c r="A810" s="13"/>
      <c r="B810" s="15" t="s">
        <v>56</v>
      </c>
      <c r="C810" s="1"/>
      <c r="D810" s="5"/>
      <c r="E810" s="1"/>
      <c r="F810" s="5"/>
      <c r="G810" s="4"/>
      <c r="H810" s="1"/>
      <c r="I810" s="9"/>
      <c r="J810" s="4"/>
    </row>
    <row r="811" spans="1:10">
      <c r="A811" s="13"/>
      <c r="B811" s="46"/>
      <c r="C811" s="1">
        <f>C771</f>
        <v>1</v>
      </c>
      <c r="D811" s="5">
        <f>D771</f>
        <v>895</v>
      </c>
      <c r="F811" s="5">
        <v>0.15</v>
      </c>
      <c r="G811" s="4">
        <f t="shared" ref="G811:G816" si="69">C811*D811*F811</f>
        <v>134.25</v>
      </c>
      <c r="H811" s="1" t="s">
        <v>17</v>
      </c>
      <c r="I811" s="9"/>
      <c r="J811" s="4"/>
    </row>
    <row r="812" spans="1:10">
      <c r="A812" s="13"/>
      <c r="B812" s="46"/>
      <c r="C812" s="1">
        <f t="shared" ref="C812:C821" si="70">C772</f>
        <v>2</v>
      </c>
      <c r="D812" s="5">
        <f>(D772+E772)*2</f>
        <v>13.04</v>
      </c>
      <c r="F812" s="5">
        <v>0.15</v>
      </c>
      <c r="G812" s="4">
        <f t="shared" si="69"/>
        <v>3.9119999999999995</v>
      </c>
      <c r="H812" s="1" t="s">
        <v>10</v>
      </c>
      <c r="I812" s="9"/>
      <c r="J812" s="4"/>
    </row>
    <row r="813" spans="1:10">
      <c r="A813" s="13"/>
      <c r="B813" s="46"/>
      <c r="C813" s="1">
        <f t="shared" si="70"/>
        <v>1</v>
      </c>
      <c r="D813" s="5">
        <f>(D773+E773)*2</f>
        <v>36.620000000000005</v>
      </c>
      <c r="F813" s="5">
        <v>0.15</v>
      </c>
      <c r="G813" s="4">
        <f t="shared" si="69"/>
        <v>5.4930000000000003</v>
      </c>
      <c r="H813" s="1" t="s">
        <v>10</v>
      </c>
      <c r="I813" s="9"/>
      <c r="J813" s="4"/>
    </row>
    <row r="814" spans="1:10">
      <c r="A814" s="13"/>
      <c r="B814" s="46"/>
      <c r="C814" s="1">
        <f t="shared" si="70"/>
        <v>1</v>
      </c>
      <c r="D814" s="5">
        <f t="shared" ref="D814:D821" si="71">(D774+E774)*2</f>
        <v>71.08</v>
      </c>
      <c r="F814" s="5">
        <v>0.15</v>
      </c>
      <c r="G814" s="4">
        <f t="shared" si="69"/>
        <v>10.661999999999999</v>
      </c>
      <c r="H814" s="1" t="s">
        <v>10</v>
      </c>
      <c r="I814" s="9"/>
      <c r="J814" s="4"/>
    </row>
    <row r="815" spans="1:10">
      <c r="A815" s="13"/>
      <c r="B815" s="46"/>
      <c r="C815" s="1">
        <f t="shared" si="70"/>
        <v>1</v>
      </c>
      <c r="D815" s="5">
        <f t="shared" si="71"/>
        <v>19.079999999999998</v>
      </c>
      <c r="F815" s="5">
        <v>0.15</v>
      </c>
      <c r="G815" s="4">
        <f t="shared" si="69"/>
        <v>2.8619999999999997</v>
      </c>
      <c r="H815" s="1" t="s">
        <v>10</v>
      </c>
      <c r="I815" s="9"/>
      <c r="J815" s="4"/>
    </row>
    <row r="816" spans="1:10">
      <c r="A816" s="13"/>
      <c r="B816" s="46" t="s">
        <v>554</v>
      </c>
      <c r="C816" s="1">
        <f t="shared" si="70"/>
        <v>1</v>
      </c>
      <c r="D816" s="5">
        <f t="shared" si="71"/>
        <v>4.2</v>
      </c>
      <c r="F816" s="5">
        <v>0.15</v>
      </c>
      <c r="G816" s="4">
        <f t="shared" si="69"/>
        <v>0.63</v>
      </c>
      <c r="H816" s="1" t="s">
        <v>10</v>
      </c>
      <c r="I816" s="9"/>
      <c r="J816" s="4"/>
    </row>
    <row r="817" spans="1:10">
      <c r="A817" s="13"/>
      <c r="B817" s="46"/>
      <c r="C817" s="1">
        <f t="shared" si="70"/>
        <v>5</v>
      </c>
      <c r="D817" s="5">
        <f t="shared" si="71"/>
        <v>5</v>
      </c>
      <c r="F817" s="5">
        <v>0.15</v>
      </c>
      <c r="G817" s="4">
        <f>C817*D817*F817</f>
        <v>3.75</v>
      </c>
      <c r="H817" s="1" t="s">
        <v>10</v>
      </c>
      <c r="I817" s="9"/>
      <c r="J817" s="4"/>
    </row>
    <row r="818" spans="1:10">
      <c r="A818" s="13"/>
      <c r="B818" s="46"/>
      <c r="C818" s="1">
        <f t="shared" si="70"/>
        <v>1</v>
      </c>
      <c r="D818" s="5">
        <f t="shared" si="71"/>
        <v>5.84</v>
      </c>
      <c r="F818" s="5">
        <v>0.15</v>
      </c>
      <c r="G818" s="4">
        <f>C818*D818*F818</f>
        <v>0.876</v>
      </c>
      <c r="H818" s="1" t="s">
        <v>10</v>
      </c>
      <c r="I818" s="9"/>
      <c r="J818" s="4"/>
    </row>
    <row r="819" spans="1:10">
      <c r="A819" s="13"/>
      <c r="B819" s="46"/>
      <c r="C819" s="1">
        <f t="shared" si="70"/>
        <v>1</v>
      </c>
      <c r="D819" s="5">
        <f t="shared" si="71"/>
        <v>14.69</v>
      </c>
      <c r="F819" s="5">
        <v>0.15</v>
      </c>
      <c r="G819" s="4">
        <f>C819*D819*F819</f>
        <v>2.2035</v>
      </c>
      <c r="H819" s="1" t="s">
        <v>10</v>
      </c>
      <c r="I819" s="9"/>
      <c r="J819" s="4"/>
    </row>
    <row r="820" spans="1:10">
      <c r="A820" s="13"/>
      <c r="B820" s="9"/>
      <c r="C820" s="1">
        <f t="shared" si="70"/>
        <v>1</v>
      </c>
      <c r="D820" s="5">
        <f t="shared" si="71"/>
        <v>10.690000000000001</v>
      </c>
      <c r="F820" s="5">
        <v>0.15</v>
      </c>
      <c r="G820" s="4">
        <f>C820*D820*F820</f>
        <v>1.6035000000000001</v>
      </c>
      <c r="H820" s="1" t="s">
        <v>10</v>
      </c>
      <c r="I820" s="9"/>
      <c r="J820" s="4"/>
    </row>
    <row r="821" spans="1:10">
      <c r="A821" s="13"/>
      <c r="B821" s="9"/>
      <c r="C821" s="1">
        <f t="shared" si="70"/>
        <v>1</v>
      </c>
      <c r="D821" s="5">
        <f t="shared" si="71"/>
        <v>15.009999999999998</v>
      </c>
      <c r="F821" s="5">
        <v>0.15</v>
      </c>
      <c r="G821" s="4">
        <f>C821*D821*F821</f>
        <v>2.2514999999999996</v>
      </c>
      <c r="H821" s="1" t="s">
        <v>10</v>
      </c>
      <c r="I821" s="9"/>
      <c r="J821" s="4"/>
    </row>
    <row r="822" spans="1:10">
      <c r="A822" s="13"/>
      <c r="B822" s="9"/>
      <c r="C822" s="1"/>
      <c r="D822" s="5"/>
      <c r="F822" s="5"/>
      <c r="G822" s="4"/>
      <c r="H822" s="1"/>
      <c r="I822" s="9"/>
      <c r="J822" s="4"/>
    </row>
    <row r="823" spans="1:10">
      <c r="A823" s="13"/>
      <c r="B823" s="9"/>
      <c r="C823" s="1"/>
      <c r="D823" s="1"/>
      <c r="E823" s="1"/>
      <c r="F823" s="34" t="s">
        <v>11</v>
      </c>
      <c r="G823" s="53">
        <f>SUM(G811:G822)</f>
        <v>168.49349999999998</v>
      </c>
      <c r="H823" s="50" t="s">
        <v>17</v>
      </c>
      <c r="I823" s="9"/>
      <c r="J823" s="4"/>
    </row>
    <row r="824" spans="1:10">
      <c r="A824" s="13"/>
      <c r="B824" s="6"/>
      <c r="C824" s="1"/>
      <c r="D824" s="1"/>
      <c r="E824" s="1"/>
      <c r="F824" s="56" t="s">
        <v>13</v>
      </c>
      <c r="G824" s="27">
        <f>ROUNDUP(G823,0)</f>
        <v>169</v>
      </c>
      <c r="H824" s="28" t="s">
        <v>17</v>
      </c>
      <c r="I824" s="9"/>
      <c r="J824" s="4"/>
    </row>
    <row r="825" spans="1:10">
      <c r="A825" s="13"/>
      <c r="B825" s="6"/>
      <c r="C825" s="1"/>
      <c r="D825" s="1"/>
      <c r="E825" s="1"/>
      <c r="F825" s="1"/>
      <c r="G825" s="33"/>
      <c r="H825" s="24"/>
      <c r="I825" s="9"/>
      <c r="J825" s="4"/>
    </row>
    <row r="826" spans="1:10">
      <c r="A826" s="13"/>
      <c r="B826" s="15" t="s">
        <v>445</v>
      </c>
      <c r="C826" s="1"/>
      <c r="D826" s="5"/>
      <c r="E826" s="1"/>
      <c r="F826" s="5"/>
      <c r="G826" s="4"/>
      <c r="H826" s="1"/>
      <c r="I826" s="9"/>
      <c r="J826" s="4"/>
    </row>
    <row r="827" spans="1:10">
      <c r="A827" s="13"/>
      <c r="B827" s="46"/>
      <c r="C827" s="1">
        <v>1</v>
      </c>
      <c r="D827" s="5">
        <f>D787</f>
        <v>583</v>
      </c>
      <c r="F827" s="5">
        <v>0.15</v>
      </c>
      <c r="G827" s="4">
        <f>C827*D827*F827</f>
        <v>87.45</v>
      </c>
      <c r="H827" s="1" t="s">
        <v>17</v>
      </c>
      <c r="I827" s="9"/>
      <c r="J827" s="4"/>
    </row>
    <row r="828" spans="1:10">
      <c r="A828" s="13"/>
      <c r="B828" s="46"/>
      <c r="C828" s="1">
        <v>1</v>
      </c>
      <c r="D828" s="5">
        <f>D788</f>
        <v>269.10000000000002</v>
      </c>
      <c r="F828" s="5">
        <v>0.15</v>
      </c>
      <c r="G828" s="4">
        <f>C828*D828*F828</f>
        <v>40.365000000000002</v>
      </c>
      <c r="H828" s="1" t="s">
        <v>10</v>
      </c>
      <c r="I828" s="9"/>
      <c r="J828" s="4"/>
    </row>
    <row r="829" spans="1:10">
      <c r="A829" s="13"/>
      <c r="B829" s="9"/>
      <c r="C829" s="1">
        <v>1</v>
      </c>
      <c r="D829" s="5">
        <f>D789</f>
        <v>5.23</v>
      </c>
      <c r="E829" s="1"/>
      <c r="F829" s="5">
        <v>0.15</v>
      </c>
      <c r="G829" s="4">
        <f>C829*D829*F829</f>
        <v>0.78450000000000009</v>
      </c>
      <c r="I829" s="9"/>
      <c r="J829" s="4"/>
    </row>
    <row r="830" spans="1:10">
      <c r="A830" s="13"/>
      <c r="B830" s="9"/>
      <c r="C830" s="1"/>
      <c r="D830" s="5"/>
      <c r="E830" s="1"/>
      <c r="F830" s="1"/>
      <c r="G830" s="4"/>
      <c r="I830" s="9"/>
      <c r="J830" s="4"/>
    </row>
    <row r="831" spans="1:10">
      <c r="A831" s="13"/>
      <c r="B831" s="9"/>
      <c r="C831" s="1"/>
      <c r="D831" s="1"/>
      <c r="E831" s="1"/>
      <c r="F831" s="34" t="s">
        <v>11</v>
      </c>
      <c r="G831" s="53">
        <f>SUM(G827:G830)</f>
        <v>128.59950000000001</v>
      </c>
      <c r="H831" s="50" t="s">
        <v>17</v>
      </c>
      <c r="I831" s="9"/>
      <c r="J831" s="4"/>
    </row>
    <row r="832" spans="1:10">
      <c r="A832" s="13"/>
      <c r="B832" s="6"/>
      <c r="C832" s="1"/>
      <c r="D832" s="1"/>
      <c r="E832" s="1"/>
      <c r="F832" s="56" t="s">
        <v>13</v>
      </c>
      <c r="G832" s="27">
        <f>ROUNDUP(G831,0)</f>
        <v>129</v>
      </c>
      <c r="H832" s="28" t="s">
        <v>17</v>
      </c>
      <c r="I832" s="9"/>
      <c r="J832" s="4"/>
    </row>
    <row r="833" spans="1:10">
      <c r="A833" s="13"/>
      <c r="B833" s="6"/>
      <c r="C833" s="1"/>
      <c r="D833" s="1"/>
      <c r="E833" s="1"/>
      <c r="F833" s="1"/>
      <c r="G833" s="33"/>
      <c r="H833" s="24"/>
      <c r="I833" s="9"/>
      <c r="J833" s="4"/>
    </row>
    <row r="834" spans="1:10">
      <c r="A834" s="13"/>
      <c r="B834" s="15" t="s">
        <v>57</v>
      </c>
      <c r="C834" s="1"/>
      <c r="D834" s="5"/>
      <c r="E834" s="1"/>
      <c r="F834" s="5"/>
      <c r="G834" s="4"/>
      <c r="H834" s="1"/>
      <c r="I834" s="9"/>
      <c r="J834" s="4"/>
    </row>
    <row r="835" spans="1:10">
      <c r="A835" s="13"/>
      <c r="B835" s="1"/>
      <c r="C835" s="1">
        <f>C795</f>
        <v>1</v>
      </c>
      <c r="D835" s="5">
        <f>D795</f>
        <v>280</v>
      </c>
      <c r="F835" s="5">
        <v>0.15</v>
      </c>
      <c r="G835" s="4">
        <f>C835*D835*F835</f>
        <v>42</v>
      </c>
      <c r="H835" s="1" t="s">
        <v>17</v>
      </c>
      <c r="I835" s="9"/>
      <c r="J835" s="4"/>
    </row>
    <row r="836" spans="1:10">
      <c r="A836" s="13"/>
      <c r="B836" s="1"/>
      <c r="C836" s="1">
        <f>C796</f>
        <v>1</v>
      </c>
      <c r="D836" s="5">
        <f>D796</f>
        <v>19.5</v>
      </c>
      <c r="F836" s="5">
        <v>0.15</v>
      </c>
      <c r="G836" s="4">
        <f>C836*D836*F836</f>
        <v>2.9249999999999998</v>
      </c>
      <c r="H836" s="1" t="s">
        <v>10</v>
      </c>
      <c r="I836" s="9"/>
      <c r="J836" s="4"/>
    </row>
    <row r="837" spans="1:10">
      <c r="A837" s="13"/>
      <c r="B837" s="46"/>
      <c r="C837" s="1"/>
      <c r="D837" s="5"/>
      <c r="F837" s="5"/>
      <c r="G837" s="4"/>
      <c r="H837" s="1"/>
      <c r="I837" s="9"/>
      <c r="J837" s="4"/>
    </row>
    <row r="838" spans="1:10">
      <c r="A838" s="13"/>
      <c r="B838" s="46"/>
      <c r="C838" s="1"/>
      <c r="D838" s="5"/>
      <c r="F838" s="34" t="s">
        <v>11</v>
      </c>
      <c r="G838" s="53">
        <f>SUM(G835:G837)</f>
        <v>44.924999999999997</v>
      </c>
      <c r="H838" s="50" t="s">
        <v>17</v>
      </c>
      <c r="I838" s="9"/>
      <c r="J838" s="4"/>
    </row>
    <row r="839" spans="1:10">
      <c r="A839" s="13"/>
      <c r="B839" s="6"/>
      <c r="C839" s="1"/>
      <c r="D839" s="1"/>
      <c r="E839" s="1"/>
      <c r="F839" s="56" t="s">
        <v>13</v>
      </c>
      <c r="G839" s="27">
        <f>ROUNDUP(G838,0)</f>
        <v>45</v>
      </c>
      <c r="H839" s="28" t="s">
        <v>17</v>
      </c>
      <c r="I839" s="9"/>
      <c r="J839" s="4"/>
    </row>
    <row r="840" spans="1:10">
      <c r="A840" s="13"/>
      <c r="B840" s="6"/>
      <c r="C840" s="1"/>
      <c r="D840" s="1"/>
      <c r="E840" s="1"/>
      <c r="F840" s="1"/>
      <c r="G840" s="33"/>
      <c r="H840" s="24"/>
      <c r="I840" s="9"/>
      <c r="J840" s="4"/>
    </row>
    <row r="841" spans="1:10">
      <c r="A841" s="13"/>
      <c r="B841" s="15" t="s">
        <v>463</v>
      </c>
      <c r="C841" s="1"/>
      <c r="D841" s="5"/>
      <c r="E841" s="1"/>
      <c r="F841" s="5"/>
      <c r="G841" s="4"/>
      <c r="H841" s="1"/>
      <c r="I841" s="9"/>
      <c r="J841" s="4"/>
    </row>
    <row r="842" spans="1:10">
      <c r="A842" s="13"/>
      <c r="B842" s="1"/>
      <c r="C842" s="1">
        <f>C802</f>
        <v>1</v>
      </c>
      <c r="D842" s="5">
        <f>D802</f>
        <v>10.23</v>
      </c>
      <c r="F842" s="5">
        <v>0.15</v>
      </c>
      <c r="G842" s="4">
        <f>C842*D842*F842</f>
        <v>1.5345</v>
      </c>
      <c r="H842" s="1" t="s">
        <v>17</v>
      </c>
      <c r="I842" s="9"/>
      <c r="J842" s="4"/>
    </row>
    <row r="843" spans="1:10">
      <c r="A843" s="13"/>
      <c r="B843" s="1"/>
      <c r="C843" s="1">
        <f>C803</f>
        <v>1</v>
      </c>
      <c r="D843" s="5">
        <f>D803</f>
        <v>5.38</v>
      </c>
      <c r="F843" s="5">
        <v>0.15</v>
      </c>
      <c r="G843" s="4">
        <f>C843*D843*F843</f>
        <v>0.80699999999999994</v>
      </c>
      <c r="H843" s="1" t="s">
        <v>10</v>
      </c>
      <c r="I843" s="9"/>
      <c r="J843" s="4"/>
    </row>
    <row r="844" spans="1:10">
      <c r="A844" s="13"/>
      <c r="B844" s="1"/>
      <c r="C844" s="1"/>
      <c r="D844" s="5"/>
      <c r="F844" s="5"/>
      <c r="G844" s="4"/>
      <c r="H844" s="1"/>
      <c r="I844" s="9"/>
      <c r="J844" s="4"/>
    </row>
    <row r="845" spans="1:10">
      <c r="A845" s="13"/>
      <c r="B845" s="1"/>
      <c r="C845" s="1"/>
      <c r="D845" s="5"/>
      <c r="F845" s="34" t="s">
        <v>11</v>
      </c>
      <c r="G845" s="53">
        <f>SUM(G842:G844)</f>
        <v>2.3414999999999999</v>
      </c>
      <c r="H845" s="50" t="s">
        <v>17</v>
      </c>
      <c r="I845" s="9"/>
      <c r="J845" s="4"/>
    </row>
    <row r="846" spans="1:10">
      <c r="A846" s="13"/>
      <c r="B846" s="6"/>
      <c r="C846" s="1"/>
      <c r="D846" s="1"/>
      <c r="E846" s="1"/>
      <c r="F846" s="56" t="s">
        <v>13</v>
      </c>
      <c r="G846" s="27">
        <f>ROUNDUP(G845,0)</f>
        <v>3</v>
      </c>
      <c r="H846" s="28" t="s">
        <v>17</v>
      </c>
      <c r="I846" s="9"/>
      <c r="J846" s="4"/>
    </row>
    <row r="847" spans="1:10">
      <c r="A847" s="13"/>
      <c r="B847" s="6"/>
      <c r="C847" s="1"/>
      <c r="D847" s="1"/>
      <c r="E847" s="1"/>
      <c r="F847" s="1"/>
      <c r="G847" s="33"/>
      <c r="H847" s="24"/>
      <c r="I847" s="9"/>
      <c r="J847" s="4"/>
    </row>
    <row r="848" spans="1:10">
      <c r="A848" s="18">
        <f>A809+1</f>
        <v>26</v>
      </c>
      <c r="B848" s="9" t="s">
        <v>85</v>
      </c>
      <c r="I848" s="9"/>
      <c r="J848" s="4"/>
    </row>
    <row r="849" spans="1:10">
      <c r="A849" s="13"/>
      <c r="B849" s="15" t="s">
        <v>56</v>
      </c>
      <c r="C849" s="1"/>
      <c r="D849" s="5"/>
      <c r="E849" s="1"/>
      <c r="F849" s="5"/>
      <c r="G849" s="4"/>
      <c r="H849" s="1"/>
      <c r="I849" s="9"/>
      <c r="J849" s="4"/>
    </row>
    <row r="850" spans="1:10">
      <c r="A850" s="13"/>
      <c r="B850" s="46"/>
      <c r="C850" s="61">
        <f>C443*2</f>
        <v>4</v>
      </c>
      <c r="D850" s="5">
        <f>D443</f>
        <v>28.73</v>
      </c>
      <c r="E850" s="5"/>
      <c r="F850" s="5">
        <f>F443</f>
        <v>1.5</v>
      </c>
      <c r="G850" s="4">
        <f>C850*D850*F850</f>
        <v>172.38</v>
      </c>
      <c r="H850" s="1" t="s">
        <v>17</v>
      </c>
      <c r="I850" s="9"/>
      <c r="J850" s="4"/>
    </row>
    <row r="851" spans="1:10">
      <c r="A851" s="13"/>
      <c r="B851" s="46"/>
      <c r="C851" s="61">
        <f>C444*2</f>
        <v>2</v>
      </c>
      <c r="D851" s="5">
        <f>D444</f>
        <v>11.774999999999999</v>
      </c>
      <c r="E851" s="5"/>
      <c r="F851" s="5">
        <f>F444</f>
        <v>1.5</v>
      </c>
      <c r="G851" s="4">
        <f>C851*D851*F851</f>
        <v>35.324999999999996</v>
      </c>
      <c r="H851" s="1" t="s">
        <v>10</v>
      </c>
      <c r="I851" s="9"/>
      <c r="J851" s="4"/>
    </row>
    <row r="852" spans="1:10">
      <c r="A852" s="13"/>
      <c r="B852" s="46"/>
      <c r="C852" s="61">
        <f>C445*2</f>
        <v>2</v>
      </c>
      <c r="D852" s="5">
        <f>D445</f>
        <v>7.9200000000000008</v>
      </c>
      <c r="E852" s="5"/>
      <c r="F852" s="5">
        <f>F445</f>
        <v>1.5</v>
      </c>
      <c r="G852" s="4">
        <f>C852*D852*F852</f>
        <v>23.76</v>
      </c>
      <c r="H852" s="1" t="s">
        <v>10</v>
      </c>
      <c r="I852" s="9"/>
      <c r="J852" s="4"/>
    </row>
    <row r="853" spans="1:10">
      <c r="A853" s="13"/>
      <c r="B853" s="46"/>
      <c r="C853" s="61">
        <f>C446*2</f>
        <v>4</v>
      </c>
      <c r="D853" s="5">
        <f>D446</f>
        <v>5.0750000000000002</v>
      </c>
      <c r="E853" s="5"/>
      <c r="F853" s="5">
        <f>F446</f>
        <v>1.5</v>
      </c>
      <c r="G853" s="4">
        <f>C853*D853*F853</f>
        <v>30.450000000000003</v>
      </c>
      <c r="H853" s="1" t="s">
        <v>10</v>
      </c>
      <c r="I853" s="9"/>
      <c r="J853" s="4"/>
    </row>
    <row r="854" spans="1:10">
      <c r="A854" s="13"/>
      <c r="B854" s="9"/>
      <c r="C854" s="1"/>
      <c r="D854" s="5"/>
      <c r="E854" s="1"/>
      <c r="F854" s="1"/>
      <c r="G854" s="4"/>
      <c r="I854" s="9"/>
      <c r="J854" s="4"/>
    </row>
    <row r="855" spans="1:10">
      <c r="A855" s="13"/>
      <c r="B855" s="9"/>
      <c r="C855" s="1"/>
      <c r="D855" s="1"/>
      <c r="E855" s="1"/>
      <c r="F855" s="34" t="s">
        <v>11</v>
      </c>
      <c r="G855" s="53">
        <f>SUM(G850:G854)</f>
        <v>261.91499999999996</v>
      </c>
      <c r="H855" s="50" t="s">
        <v>17</v>
      </c>
      <c r="I855" s="9"/>
      <c r="J855" s="4"/>
    </row>
    <row r="856" spans="1:10">
      <c r="A856" s="13"/>
      <c r="B856" s="6"/>
      <c r="C856" s="1"/>
      <c r="D856" s="1"/>
      <c r="E856" s="1"/>
      <c r="F856" s="56" t="s">
        <v>13</v>
      </c>
      <c r="G856" s="27">
        <f>ROUNDUP(G855,0)</f>
        <v>262</v>
      </c>
      <c r="H856" s="28" t="s">
        <v>17</v>
      </c>
      <c r="I856" s="9"/>
      <c r="J856" s="4"/>
    </row>
    <row r="857" spans="1:10">
      <c r="A857" s="4"/>
      <c r="B857" s="9"/>
      <c r="I857" s="9"/>
      <c r="J857" s="4"/>
    </row>
    <row r="858" spans="1:10">
      <c r="A858" s="4"/>
      <c r="B858" s="15" t="s">
        <v>463</v>
      </c>
      <c r="I858" s="9"/>
      <c r="J858" s="4"/>
    </row>
    <row r="859" spans="1:10">
      <c r="A859" s="4"/>
      <c r="B859" s="81" t="str">
        <f>B452</f>
        <v>Raw Water Tank &amp; Fire Tank</v>
      </c>
      <c r="C859" s="61">
        <f>C452*2</f>
        <v>6</v>
      </c>
      <c r="D859" s="5">
        <f>D452</f>
        <v>5.27</v>
      </c>
      <c r="E859" s="5"/>
      <c r="F859" s="5">
        <f>F452</f>
        <v>2.4500000000000002</v>
      </c>
      <c r="G859" s="4">
        <f>C859*D859*F859</f>
        <v>77.468999999999994</v>
      </c>
      <c r="H859" s="1" t="s">
        <v>17</v>
      </c>
      <c r="I859" s="9"/>
      <c r="J859" s="4"/>
    </row>
    <row r="860" spans="1:10">
      <c r="A860" s="4"/>
      <c r="B860" s="81"/>
      <c r="C860" s="61">
        <f>C453*2</f>
        <v>4</v>
      </c>
      <c r="D860" s="5">
        <f>D453</f>
        <v>5.38</v>
      </c>
      <c r="E860" s="5"/>
      <c r="F860" s="5">
        <f>F453</f>
        <v>2.4500000000000002</v>
      </c>
      <c r="G860" s="4">
        <f>C860*D860*F860</f>
        <v>52.724000000000004</v>
      </c>
      <c r="H860" s="57" t="s">
        <v>10</v>
      </c>
      <c r="I860" s="9"/>
      <c r="J860" s="4"/>
    </row>
    <row r="861" spans="1:10">
      <c r="A861" s="4"/>
      <c r="B861" s="9"/>
      <c r="C861" s="61"/>
      <c r="D861" s="5"/>
      <c r="E861" s="5"/>
      <c r="F861" s="5"/>
      <c r="G861" s="4"/>
      <c r="I861" s="9"/>
      <c r="J861" s="4"/>
    </row>
    <row r="862" spans="1:10">
      <c r="A862" s="4"/>
      <c r="B862" s="9"/>
      <c r="F862" s="34" t="s">
        <v>11</v>
      </c>
      <c r="G862" s="53">
        <f>SUM(G859:G861)</f>
        <v>130.19299999999998</v>
      </c>
      <c r="H862" s="50" t="s">
        <v>17</v>
      </c>
      <c r="I862" s="9"/>
      <c r="J862" s="4"/>
    </row>
    <row r="863" spans="1:10">
      <c r="A863" s="4"/>
      <c r="B863" s="9"/>
      <c r="F863" s="56" t="s">
        <v>13</v>
      </c>
      <c r="G863" s="27">
        <f>ROUNDUP(G862,0)</f>
        <v>131</v>
      </c>
      <c r="H863" s="28" t="s">
        <v>17</v>
      </c>
      <c r="I863" s="9"/>
      <c r="J863" s="4"/>
    </row>
    <row r="864" spans="1:10">
      <c r="A864" s="4"/>
      <c r="B864" s="9"/>
      <c r="I864" s="9"/>
      <c r="J864" s="4"/>
    </row>
    <row r="865" spans="1:10">
      <c r="A865" s="18">
        <f>A848+1</f>
        <v>27</v>
      </c>
      <c r="B865" s="9" t="s">
        <v>83</v>
      </c>
      <c r="I865" s="9"/>
      <c r="J865" s="4"/>
    </row>
    <row r="866" spans="1:10">
      <c r="A866" s="13"/>
      <c r="B866" s="15" t="s">
        <v>56</v>
      </c>
      <c r="C866" s="1"/>
      <c r="D866" s="5"/>
      <c r="E866" s="1"/>
      <c r="F866" s="5"/>
      <c r="G866" s="4"/>
      <c r="H866" s="1"/>
      <c r="I866" s="9"/>
      <c r="J866" s="4"/>
    </row>
    <row r="867" spans="1:10">
      <c r="A867" s="13"/>
      <c r="B867" s="46"/>
      <c r="C867" s="1">
        <f t="shared" ref="C867:E874" si="72">C460</f>
        <v>1</v>
      </c>
      <c r="D867" s="5">
        <f t="shared" si="72"/>
        <v>9.82</v>
      </c>
      <c r="E867" s="5">
        <f t="shared" si="72"/>
        <v>0.6</v>
      </c>
      <c r="F867" s="5"/>
      <c r="G867" s="4">
        <f>C867*D867*E867</f>
        <v>5.8920000000000003</v>
      </c>
      <c r="H867" s="1" t="s">
        <v>17</v>
      </c>
      <c r="I867" s="9"/>
      <c r="J867" s="4"/>
    </row>
    <row r="868" spans="1:10">
      <c r="A868" s="13"/>
      <c r="B868" s="46"/>
      <c r="C868" s="1">
        <f t="shared" si="72"/>
        <v>1</v>
      </c>
      <c r="D868" s="5">
        <f t="shared" si="72"/>
        <v>6.32</v>
      </c>
      <c r="E868" s="5">
        <f t="shared" si="72"/>
        <v>0.6</v>
      </c>
      <c r="F868" s="5"/>
      <c r="G868" s="4">
        <f t="shared" ref="G868:G874" si="73">C868*D868*E868</f>
        <v>3.7919999999999998</v>
      </c>
      <c r="H868" s="1" t="s">
        <v>10</v>
      </c>
      <c r="I868" s="9"/>
      <c r="J868" s="4"/>
    </row>
    <row r="869" spans="1:10">
      <c r="A869" s="13"/>
      <c r="B869" s="46"/>
      <c r="C869" s="1">
        <f t="shared" si="72"/>
        <v>2</v>
      </c>
      <c r="D869" s="5">
        <f t="shared" si="72"/>
        <v>2.4</v>
      </c>
      <c r="E869" s="5">
        <f t="shared" si="72"/>
        <v>0.6</v>
      </c>
      <c r="F869" s="5"/>
      <c r="G869" s="4">
        <f t="shared" si="73"/>
        <v>2.88</v>
      </c>
      <c r="H869" s="1" t="s">
        <v>10</v>
      </c>
      <c r="I869" s="9"/>
      <c r="J869" s="4"/>
    </row>
    <row r="870" spans="1:10">
      <c r="A870" s="13"/>
      <c r="B870" s="46"/>
      <c r="C870" s="1">
        <f t="shared" si="72"/>
        <v>1</v>
      </c>
      <c r="D870" s="5">
        <f t="shared" si="72"/>
        <v>5.3</v>
      </c>
      <c r="E870" s="5">
        <f t="shared" si="72"/>
        <v>0.6</v>
      </c>
      <c r="F870" s="5"/>
      <c r="G870" s="4">
        <f t="shared" si="73"/>
        <v>3.1799999999999997</v>
      </c>
      <c r="H870" s="1" t="s">
        <v>10</v>
      </c>
      <c r="I870" s="9"/>
      <c r="J870" s="4"/>
    </row>
    <row r="871" spans="1:10">
      <c r="A871" s="13"/>
      <c r="B871" s="46"/>
      <c r="C871" s="1">
        <f t="shared" si="72"/>
        <v>1</v>
      </c>
      <c r="D871" s="5">
        <f t="shared" si="72"/>
        <v>5.38</v>
      </c>
      <c r="E871" s="5">
        <f t="shared" si="72"/>
        <v>0.6</v>
      </c>
      <c r="F871" s="5"/>
      <c r="G871" s="4">
        <f t="shared" si="73"/>
        <v>3.2279999999999998</v>
      </c>
      <c r="H871" s="1" t="s">
        <v>10</v>
      </c>
      <c r="I871" s="9"/>
      <c r="J871" s="4"/>
    </row>
    <row r="872" spans="1:10">
      <c r="A872" s="13"/>
      <c r="B872" s="46"/>
      <c r="C872" s="1">
        <f t="shared" si="72"/>
        <v>1</v>
      </c>
      <c r="D872" s="5">
        <f t="shared" si="72"/>
        <v>6.1</v>
      </c>
      <c r="E872" s="5">
        <f t="shared" si="72"/>
        <v>0.6</v>
      </c>
      <c r="F872" s="5"/>
      <c r="G872" s="4">
        <f t="shared" si="73"/>
        <v>3.6599999999999997</v>
      </c>
      <c r="H872" s="1" t="s">
        <v>10</v>
      </c>
      <c r="I872" s="9"/>
      <c r="J872" s="4"/>
    </row>
    <row r="873" spans="1:10">
      <c r="A873" s="13"/>
      <c r="B873" s="46"/>
      <c r="C873" s="1">
        <f t="shared" si="72"/>
        <v>1</v>
      </c>
      <c r="D873" s="5">
        <f t="shared" si="72"/>
        <v>26</v>
      </c>
      <c r="E873" s="5">
        <f t="shared" si="72"/>
        <v>0.6</v>
      </c>
      <c r="F873" s="5"/>
      <c r="G873" s="4">
        <f t="shared" si="73"/>
        <v>15.6</v>
      </c>
      <c r="H873" s="1" t="s">
        <v>10</v>
      </c>
      <c r="I873" s="9"/>
      <c r="J873" s="4"/>
    </row>
    <row r="874" spans="1:10">
      <c r="A874" s="13"/>
      <c r="B874" s="46"/>
      <c r="C874" s="1">
        <f t="shared" si="72"/>
        <v>1</v>
      </c>
      <c r="D874" s="5">
        <f t="shared" si="72"/>
        <v>9.85</v>
      </c>
      <c r="E874" s="5">
        <f t="shared" si="72"/>
        <v>0.6</v>
      </c>
      <c r="F874" s="5"/>
      <c r="G874" s="4">
        <f t="shared" si="73"/>
        <v>5.9099999999999993</v>
      </c>
      <c r="H874" s="1" t="s">
        <v>10</v>
      </c>
      <c r="I874" s="9"/>
      <c r="J874" s="4"/>
    </row>
    <row r="875" spans="1:10">
      <c r="A875" s="13"/>
      <c r="B875" s="46"/>
      <c r="C875" s="1"/>
      <c r="D875" s="5"/>
      <c r="E875" s="5"/>
      <c r="F875" s="5"/>
      <c r="G875" s="4"/>
      <c r="H875" s="1"/>
      <c r="I875" s="9"/>
      <c r="J875" s="4"/>
    </row>
    <row r="876" spans="1:10">
      <c r="A876" s="13"/>
      <c r="B876" s="9"/>
      <c r="C876" s="1"/>
      <c r="D876" s="1"/>
      <c r="E876" s="1"/>
      <c r="F876" s="34" t="s">
        <v>11</v>
      </c>
      <c r="G876" s="53">
        <f>SUM(G867:G875)</f>
        <v>44.141999999999996</v>
      </c>
      <c r="H876" s="50" t="s">
        <v>17</v>
      </c>
      <c r="I876" s="9"/>
      <c r="J876" s="4"/>
    </row>
    <row r="877" spans="1:10">
      <c r="A877" s="13"/>
      <c r="B877" s="6"/>
      <c r="C877" s="1"/>
      <c r="D877" s="1"/>
      <c r="E877" s="1"/>
      <c r="F877" s="56" t="s">
        <v>13</v>
      </c>
      <c r="G877" s="27">
        <f>ROUNDUP(G876,0)</f>
        <v>45</v>
      </c>
      <c r="H877" s="28" t="s">
        <v>17</v>
      </c>
      <c r="I877" s="9"/>
      <c r="J877" s="4"/>
    </row>
    <row r="878" spans="1:10">
      <c r="A878" s="13"/>
      <c r="B878" s="6"/>
      <c r="C878" s="1"/>
      <c r="D878" s="1"/>
      <c r="E878" s="1"/>
      <c r="F878" s="1"/>
      <c r="G878" s="33"/>
      <c r="H878" s="24"/>
      <c r="I878" s="9"/>
      <c r="J878" s="4"/>
    </row>
    <row r="879" spans="1:10">
      <c r="A879" s="13"/>
      <c r="B879" s="15" t="s">
        <v>445</v>
      </c>
      <c r="C879" s="1"/>
      <c r="D879" s="5"/>
      <c r="E879" s="1"/>
      <c r="F879" s="5"/>
      <c r="G879" s="4"/>
      <c r="H879" s="1"/>
      <c r="I879" s="9"/>
      <c r="J879" s="4"/>
    </row>
    <row r="880" spans="1:10">
      <c r="A880" s="13"/>
      <c r="B880" s="46"/>
      <c r="C880" s="1">
        <f t="shared" ref="C880:E882" si="74">C473</f>
        <v>1</v>
      </c>
      <c r="D880" s="5">
        <f t="shared" si="74"/>
        <v>7.915</v>
      </c>
      <c r="E880" s="5">
        <f t="shared" si="74"/>
        <v>0.6</v>
      </c>
      <c r="F880" s="5"/>
      <c r="G880" s="4">
        <f>C880*D880*E880</f>
        <v>4.7489999999999997</v>
      </c>
      <c r="H880" s="1" t="s">
        <v>17</v>
      </c>
      <c r="I880" s="9"/>
      <c r="J880" s="4"/>
    </row>
    <row r="881" spans="1:10">
      <c r="A881" s="13"/>
      <c r="B881" s="46"/>
      <c r="C881" s="1">
        <f t="shared" si="74"/>
        <v>1</v>
      </c>
      <c r="D881" s="5">
        <f t="shared" si="74"/>
        <v>2.3780000000000001</v>
      </c>
      <c r="E881" s="5">
        <f t="shared" si="74"/>
        <v>0.6</v>
      </c>
      <c r="F881" s="5"/>
      <c r="G881" s="4">
        <f>C881*D881*E881</f>
        <v>1.4268000000000001</v>
      </c>
      <c r="H881" s="1" t="s">
        <v>10</v>
      </c>
      <c r="I881" s="9"/>
      <c r="J881" s="4"/>
    </row>
    <row r="882" spans="1:10">
      <c r="A882" s="13"/>
      <c r="B882" s="46"/>
      <c r="C882" s="1">
        <f t="shared" si="74"/>
        <v>1</v>
      </c>
      <c r="D882" s="5">
        <f t="shared" si="74"/>
        <v>15.305</v>
      </c>
      <c r="E882" s="5">
        <f t="shared" si="74"/>
        <v>0.6</v>
      </c>
      <c r="F882" s="5"/>
      <c r="G882" s="4">
        <f>C882*D882*E882</f>
        <v>9.1829999999999998</v>
      </c>
      <c r="H882" s="1" t="s">
        <v>10</v>
      </c>
      <c r="I882" s="9"/>
      <c r="J882" s="4"/>
    </row>
    <row r="883" spans="1:10">
      <c r="A883" s="13"/>
      <c r="B883" s="46"/>
      <c r="C883" s="1"/>
      <c r="D883" s="5"/>
      <c r="E883" s="5"/>
      <c r="F883" s="5"/>
      <c r="G883" s="4"/>
      <c r="H883" s="1"/>
      <c r="I883" s="9"/>
      <c r="J883" s="4"/>
    </row>
    <row r="884" spans="1:10">
      <c r="A884" s="13"/>
      <c r="B884" s="9"/>
      <c r="C884" s="1"/>
      <c r="D884" s="1"/>
      <c r="E884" s="1"/>
      <c r="F884" s="34" t="s">
        <v>11</v>
      </c>
      <c r="G884" s="53">
        <f>SUM(G880:G883)</f>
        <v>15.358799999999999</v>
      </c>
      <c r="H884" s="50" t="s">
        <v>17</v>
      </c>
      <c r="I884" s="9"/>
      <c r="J884" s="4"/>
    </row>
    <row r="885" spans="1:10">
      <c r="A885" s="13"/>
      <c r="B885" s="6"/>
      <c r="C885" s="1"/>
      <c r="D885" s="1"/>
      <c r="E885" s="1"/>
      <c r="F885" s="56" t="s">
        <v>13</v>
      </c>
      <c r="G885" s="27">
        <f>ROUNDUP(G884,0)</f>
        <v>16</v>
      </c>
      <c r="H885" s="28" t="s">
        <v>17</v>
      </c>
      <c r="I885" s="9"/>
      <c r="J885" s="4"/>
    </row>
    <row r="886" spans="1:10">
      <c r="A886" s="13"/>
      <c r="B886" s="6"/>
      <c r="C886" s="1"/>
      <c r="D886" s="1"/>
      <c r="E886" s="1"/>
      <c r="F886" s="1"/>
      <c r="G886" s="33"/>
      <c r="H886" s="24"/>
      <c r="I886" s="9"/>
      <c r="J886" s="4"/>
    </row>
    <row r="887" spans="1:10">
      <c r="A887" s="13"/>
      <c r="B887" s="15" t="s">
        <v>57</v>
      </c>
      <c r="C887" s="1"/>
      <c r="D887" s="5"/>
      <c r="E887" s="1"/>
      <c r="F887" s="5"/>
      <c r="G887" s="4"/>
      <c r="H887" s="1"/>
      <c r="I887" s="9"/>
      <c r="J887" s="4"/>
    </row>
    <row r="888" spans="1:10">
      <c r="A888" s="13"/>
      <c r="B888" s="46"/>
      <c r="C888" s="1">
        <f t="shared" ref="C888:E891" si="75">C481</f>
        <v>1</v>
      </c>
      <c r="D888" s="5">
        <f t="shared" si="75"/>
        <v>10.305</v>
      </c>
      <c r="E888" s="5">
        <f t="shared" si="75"/>
        <v>0.6</v>
      </c>
      <c r="F888" s="5"/>
      <c r="G888" s="4">
        <f>C888*D888*E888</f>
        <v>6.1829999999999998</v>
      </c>
      <c r="H888" s="1" t="s">
        <v>17</v>
      </c>
      <c r="I888" s="9"/>
      <c r="J888" s="4"/>
    </row>
    <row r="889" spans="1:10">
      <c r="A889" s="13"/>
      <c r="B889" s="46"/>
      <c r="C889" s="1">
        <f t="shared" si="75"/>
        <v>1</v>
      </c>
      <c r="D889" s="5">
        <f t="shared" si="75"/>
        <v>2.35</v>
      </c>
      <c r="E889" s="5">
        <f t="shared" si="75"/>
        <v>0.6</v>
      </c>
      <c r="F889" s="5"/>
      <c r="G889" s="4">
        <f>C889*D889*E889</f>
        <v>1.41</v>
      </c>
      <c r="H889" s="1" t="s">
        <v>10</v>
      </c>
      <c r="I889" s="9"/>
      <c r="J889" s="4"/>
    </row>
    <row r="890" spans="1:10">
      <c r="A890" s="13"/>
      <c r="B890" s="46"/>
      <c r="C890" s="1">
        <f t="shared" si="75"/>
        <v>1</v>
      </c>
      <c r="D890" s="5">
        <f t="shared" si="75"/>
        <v>10.23</v>
      </c>
      <c r="E890" s="5">
        <f t="shared" si="75"/>
        <v>0.6</v>
      </c>
      <c r="F890" s="5"/>
      <c r="G890" s="4">
        <f>C890*D890*E890</f>
        <v>6.1379999999999999</v>
      </c>
      <c r="H890" s="1" t="s">
        <v>10</v>
      </c>
      <c r="I890" s="9"/>
      <c r="J890" s="4"/>
    </row>
    <row r="891" spans="1:10">
      <c r="A891" s="13"/>
      <c r="B891" s="46"/>
      <c r="C891" s="1">
        <f t="shared" si="75"/>
        <v>1</v>
      </c>
      <c r="D891" s="5">
        <f t="shared" si="75"/>
        <v>2.9</v>
      </c>
      <c r="E891" s="5">
        <f t="shared" si="75"/>
        <v>0.6</v>
      </c>
      <c r="F891" s="5"/>
      <c r="G891" s="4">
        <f>C891*D891*E891</f>
        <v>1.74</v>
      </c>
      <c r="H891" s="1" t="s">
        <v>10</v>
      </c>
      <c r="I891" s="9"/>
      <c r="J891" s="4"/>
    </row>
    <row r="892" spans="1:10">
      <c r="A892" s="13"/>
      <c r="B892" s="46"/>
      <c r="C892" s="1"/>
      <c r="D892" s="5"/>
      <c r="E892" s="5"/>
      <c r="F892" s="5"/>
      <c r="G892" s="4"/>
      <c r="H892" s="1"/>
      <c r="I892" s="9"/>
      <c r="J892" s="4"/>
    </row>
    <row r="893" spans="1:10">
      <c r="A893" s="13"/>
      <c r="B893" s="9"/>
      <c r="C893" s="1"/>
      <c r="D893" s="1"/>
      <c r="E893" s="1"/>
      <c r="F893" s="34" t="s">
        <v>11</v>
      </c>
      <c r="G893" s="53">
        <f>SUM(G888:G892)</f>
        <v>15.471</v>
      </c>
      <c r="H893" s="50" t="s">
        <v>17</v>
      </c>
      <c r="I893" s="9"/>
      <c r="J893" s="4"/>
    </row>
    <row r="894" spans="1:10">
      <c r="A894" s="13"/>
      <c r="B894" s="6"/>
      <c r="C894" s="1"/>
      <c r="D894" s="1"/>
      <c r="E894" s="1"/>
      <c r="F894" s="56" t="s">
        <v>13</v>
      </c>
      <c r="G894" s="27">
        <f>ROUNDUP(G893,0)</f>
        <v>16</v>
      </c>
      <c r="H894" s="28" t="s">
        <v>17</v>
      </c>
      <c r="I894" s="9"/>
      <c r="J894" s="4"/>
    </row>
    <row r="895" spans="1:10">
      <c r="A895" s="13"/>
      <c r="B895" s="9"/>
      <c r="C895" s="1"/>
      <c r="D895" s="1"/>
      <c r="E895" s="1"/>
      <c r="F895" s="1"/>
      <c r="G895" s="33"/>
      <c r="H895" s="24"/>
      <c r="I895" s="9"/>
      <c r="J895" s="4"/>
    </row>
    <row r="896" spans="1:10">
      <c r="A896" s="18">
        <f>A865+1</f>
        <v>28</v>
      </c>
      <c r="B896" s="9" t="s">
        <v>599</v>
      </c>
      <c r="C896" s="1"/>
      <c r="D896" s="1"/>
      <c r="E896" s="1"/>
      <c r="F896" s="1"/>
      <c r="G896" s="33"/>
      <c r="H896" s="24"/>
      <c r="I896" s="9"/>
      <c r="J896" s="4"/>
    </row>
    <row r="897" spans="1:11">
      <c r="A897" s="13"/>
      <c r="B897" s="15" t="s">
        <v>56</v>
      </c>
      <c r="C897" s="1"/>
      <c r="D897" s="1"/>
      <c r="E897" s="1"/>
      <c r="F897" s="1"/>
      <c r="G897" s="33"/>
      <c r="H897" s="24"/>
      <c r="I897" s="9"/>
      <c r="J897" s="4"/>
    </row>
    <row r="898" spans="1:11">
      <c r="A898" s="13"/>
      <c r="B898" s="46" t="s">
        <v>635</v>
      </c>
      <c r="C898" s="61">
        <v>1</v>
      </c>
      <c r="D898" s="5">
        <v>26.3</v>
      </c>
      <c r="E898" s="5">
        <v>10.23</v>
      </c>
      <c r="F898" s="71"/>
      <c r="G898" s="4">
        <f>C898*D898*E898</f>
        <v>269.04900000000004</v>
      </c>
      <c r="H898" s="1" t="s">
        <v>17</v>
      </c>
      <c r="I898" s="9"/>
      <c r="J898" s="4"/>
    </row>
    <row r="899" spans="1:11">
      <c r="A899" s="13"/>
      <c r="C899" s="46"/>
      <c r="D899" s="2"/>
      <c r="E899" s="2"/>
      <c r="F899" s="75" t="s">
        <v>13</v>
      </c>
      <c r="G899" s="27">
        <f>ROUNDUP(G898,0)</f>
        <v>270</v>
      </c>
      <c r="H899" s="28" t="s">
        <v>17</v>
      </c>
      <c r="I899" s="9"/>
      <c r="J899" s="4"/>
    </row>
    <row r="900" spans="1:11">
      <c r="A900" s="13"/>
      <c r="B900" s="9"/>
      <c r="C900" s="1"/>
      <c r="D900" s="1"/>
      <c r="E900" s="1"/>
      <c r="F900" s="1"/>
      <c r="G900" s="33"/>
      <c r="H900" s="24"/>
      <c r="I900" s="9"/>
      <c r="J900" s="4"/>
    </row>
    <row r="901" spans="1:11">
      <c r="A901" s="18">
        <f>A896+1</f>
        <v>29</v>
      </c>
      <c r="B901" s="9" t="s">
        <v>40</v>
      </c>
      <c r="C901" s="1"/>
      <c r="D901" s="1"/>
      <c r="E901" s="1"/>
      <c r="F901" s="1"/>
      <c r="G901" s="9"/>
      <c r="H901" s="1"/>
      <c r="J901" s="31"/>
      <c r="K901" s="31"/>
    </row>
    <row r="902" spans="1:11">
      <c r="A902" s="18"/>
      <c r="B902" s="15" t="s">
        <v>56</v>
      </c>
      <c r="C902" s="1"/>
      <c r="D902" s="1"/>
      <c r="E902" s="1"/>
      <c r="F902" s="1"/>
      <c r="G902" s="9"/>
      <c r="H902" s="1"/>
      <c r="J902" s="31"/>
      <c r="K902" s="31"/>
    </row>
    <row r="903" spans="1:11">
      <c r="A903" s="18"/>
      <c r="B903" s="9" t="s">
        <v>79</v>
      </c>
      <c r="C903" s="5">
        <f>G163</f>
        <v>324</v>
      </c>
      <c r="D903" s="1" t="s">
        <v>18</v>
      </c>
      <c r="E903" s="5">
        <v>75</v>
      </c>
      <c r="F903" s="1"/>
      <c r="G903" s="4">
        <f>C903*E903</f>
        <v>24300</v>
      </c>
      <c r="H903" s="1" t="s">
        <v>19</v>
      </c>
      <c r="J903" s="31"/>
      <c r="K903" s="31"/>
    </row>
    <row r="904" spans="1:11">
      <c r="A904" s="82"/>
      <c r="B904" s="9" t="s">
        <v>50</v>
      </c>
      <c r="C904" s="5">
        <f>G184</f>
        <v>70</v>
      </c>
      <c r="D904" s="1" t="s">
        <v>18</v>
      </c>
      <c r="E904" s="5">
        <v>250</v>
      </c>
      <c r="F904" s="1"/>
      <c r="G904" s="4">
        <f t="shared" ref="G904:G912" si="76">C904*E904</f>
        <v>17500</v>
      </c>
      <c r="H904" s="1" t="s">
        <v>10</v>
      </c>
      <c r="J904" s="31"/>
      <c r="K904" s="31"/>
    </row>
    <row r="905" spans="1:11">
      <c r="A905" s="11"/>
      <c r="B905" s="9" t="s">
        <v>26</v>
      </c>
      <c r="C905" s="5">
        <f>G228</f>
        <v>54</v>
      </c>
      <c r="D905" s="1" t="s">
        <v>18</v>
      </c>
      <c r="E905" s="5">
        <v>150</v>
      </c>
      <c r="F905" s="1"/>
      <c r="G905" s="4">
        <f t="shared" si="76"/>
        <v>8100</v>
      </c>
      <c r="H905" s="1" t="s">
        <v>10</v>
      </c>
      <c r="J905" s="31"/>
      <c r="K905" s="31"/>
    </row>
    <row r="906" spans="1:11">
      <c r="A906" s="11"/>
      <c r="B906" s="9" t="s">
        <v>59</v>
      </c>
      <c r="C906" s="5">
        <f>G262</f>
        <v>64</v>
      </c>
      <c r="D906" s="1" t="s">
        <v>18</v>
      </c>
      <c r="E906" s="5">
        <v>200</v>
      </c>
      <c r="F906" s="1"/>
      <c r="G906" s="4">
        <f t="shared" si="76"/>
        <v>12800</v>
      </c>
      <c r="H906" s="1" t="s">
        <v>10</v>
      </c>
      <c r="J906" s="31"/>
      <c r="K906" s="31"/>
    </row>
    <row r="907" spans="1:11">
      <c r="A907" s="11"/>
      <c r="B907" s="9" t="s">
        <v>32</v>
      </c>
      <c r="C907" s="5">
        <f>G339</f>
        <v>4</v>
      </c>
      <c r="D907" s="1" t="s">
        <v>18</v>
      </c>
      <c r="E907" s="5">
        <v>100</v>
      </c>
      <c r="F907" s="1"/>
      <c r="G907" s="4">
        <f t="shared" si="76"/>
        <v>400</v>
      </c>
      <c r="H907" s="1" t="s">
        <v>10</v>
      </c>
      <c r="J907" s="31"/>
      <c r="K907" s="31"/>
    </row>
    <row r="908" spans="1:11">
      <c r="A908" s="11"/>
      <c r="B908" s="9" t="s">
        <v>90</v>
      </c>
      <c r="C908" s="5">
        <f>G383</f>
        <v>11</v>
      </c>
      <c r="D908" s="1" t="s">
        <v>18</v>
      </c>
      <c r="E908" s="5">
        <v>150</v>
      </c>
      <c r="F908" s="1"/>
      <c r="G908" s="4">
        <f t="shared" si="76"/>
        <v>1650</v>
      </c>
      <c r="H908" s="1" t="s">
        <v>10</v>
      </c>
      <c r="J908" s="31"/>
      <c r="K908" s="31"/>
    </row>
    <row r="909" spans="1:11">
      <c r="A909" s="11"/>
      <c r="B909" s="9" t="s">
        <v>92</v>
      </c>
      <c r="C909" s="5">
        <f>G417</f>
        <v>134</v>
      </c>
      <c r="D909" s="1" t="s">
        <v>18</v>
      </c>
      <c r="E909" s="5">
        <v>75</v>
      </c>
      <c r="F909" s="1"/>
      <c r="G909" s="4">
        <f t="shared" si="76"/>
        <v>10050</v>
      </c>
      <c r="H909" s="1" t="s">
        <v>10</v>
      </c>
      <c r="J909" s="31"/>
      <c r="K909" s="31"/>
    </row>
    <row r="910" spans="1:11">
      <c r="A910" s="11"/>
      <c r="B910" s="9" t="s">
        <v>87</v>
      </c>
      <c r="C910" s="5">
        <f>G449</f>
        <v>31</v>
      </c>
      <c r="D910" s="1" t="s">
        <v>18</v>
      </c>
      <c r="E910" s="5">
        <v>125</v>
      </c>
      <c r="F910" s="1"/>
      <c r="G910" s="4">
        <f t="shared" si="76"/>
        <v>3875</v>
      </c>
      <c r="H910" s="1" t="s">
        <v>10</v>
      </c>
      <c r="J910" s="80"/>
      <c r="K910" s="31"/>
    </row>
    <row r="911" spans="1:11">
      <c r="A911" s="11"/>
      <c r="B911" s="9" t="s">
        <v>88</v>
      </c>
      <c r="C911" s="5">
        <f>G470</f>
        <v>5</v>
      </c>
      <c r="D911" s="1" t="s">
        <v>18</v>
      </c>
      <c r="E911" s="5">
        <v>100</v>
      </c>
      <c r="F911" s="1"/>
      <c r="G911" s="4">
        <f t="shared" si="76"/>
        <v>500</v>
      </c>
      <c r="H911" s="1" t="s">
        <v>10</v>
      </c>
      <c r="J911" s="31"/>
      <c r="K911" s="31"/>
    </row>
    <row r="912" spans="1:11">
      <c r="A912" s="11"/>
      <c r="B912" s="9" t="s">
        <v>89</v>
      </c>
      <c r="C912" s="5">
        <f>G492</f>
        <v>1</v>
      </c>
      <c r="D912" s="1" t="s">
        <v>18</v>
      </c>
      <c r="E912" s="5">
        <v>50</v>
      </c>
      <c r="F912" s="1"/>
      <c r="G912" s="4">
        <f t="shared" si="76"/>
        <v>50</v>
      </c>
      <c r="H912" s="1" t="s">
        <v>10</v>
      </c>
      <c r="J912" s="31"/>
      <c r="K912" s="31"/>
    </row>
    <row r="913" spans="1:11">
      <c r="A913" s="11"/>
      <c r="B913" s="9"/>
      <c r="C913" s="5"/>
      <c r="D913" s="1"/>
      <c r="E913" s="5"/>
      <c r="F913" s="1"/>
      <c r="G913" s="4"/>
      <c r="H913" s="1"/>
      <c r="J913" s="31"/>
      <c r="K913" s="31"/>
    </row>
    <row r="914" spans="1:11">
      <c r="A914" s="11"/>
      <c r="B914" s="9"/>
      <c r="C914" s="1"/>
      <c r="D914" s="1"/>
      <c r="E914" s="1"/>
      <c r="F914" s="34" t="s">
        <v>11</v>
      </c>
      <c r="G914" s="53">
        <f>SUM(G903:G913)</f>
        <v>79225</v>
      </c>
      <c r="H914" s="50" t="s">
        <v>19</v>
      </c>
      <c r="J914" s="31"/>
      <c r="K914" s="31"/>
    </row>
    <row r="915" spans="1:11">
      <c r="A915" s="11"/>
      <c r="B915" s="9"/>
      <c r="C915" s="1"/>
      <c r="D915" s="1"/>
      <c r="E915" s="1"/>
      <c r="F915" s="56" t="s">
        <v>13</v>
      </c>
      <c r="G915" s="27">
        <f>ROUNDUP(G914,0)</f>
        <v>79225</v>
      </c>
      <c r="H915" s="28" t="s">
        <v>24</v>
      </c>
      <c r="J915" s="31"/>
      <c r="K915" s="31"/>
    </row>
    <row r="916" spans="1:11">
      <c r="A916" s="11"/>
      <c r="B916" s="9"/>
      <c r="C916" s="1"/>
      <c r="D916" s="1"/>
      <c r="E916" s="1"/>
      <c r="F916" s="1"/>
      <c r="G916" s="33"/>
      <c r="H916" s="24"/>
      <c r="J916" s="31"/>
      <c r="K916" s="31"/>
    </row>
    <row r="917" spans="1:11">
      <c r="A917" s="11"/>
      <c r="B917" s="15" t="s">
        <v>445</v>
      </c>
      <c r="C917" s="1"/>
      <c r="D917" s="1"/>
      <c r="E917" s="1"/>
      <c r="F917" s="1"/>
      <c r="G917" s="33"/>
      <c r="H917" s="24"/>
      <c r="J917" s="31"/>
      <c r="K917" s="31"/>
    </row>
    <row r="918" spans="1:11">
      <c r="A918" s="11"/>
      <c r="B918" s="9" t="s">
        <v>50</v>
      </c>
      <c r="C918" s="5">
        <f>G192</f>
        <v>20</v>
      </c>
      <c r="D918" s="1" t="s">
        <v>18</v>
      </c>
      <c r="E918" s="5">
        <v>250</v>
      </c>
      <c r="F918" s="1"/>
      <c r="G918" s="4">
        <f>C918*E918</f>
        <v>5000</v>
      </c>
      <c r="H918" s="1" t="s">
        <v>19</v>
      </c>
      <c r="J918" s="31"/>
      <c r="K918" s="31"/>
    </row>
    <row r="919" spans="1:11">
      <c r="A919" s="11"/>
      <c r="B919" s="9" t="s">
        <v>59</v>
      </c>
      <c r="C919" s="5">
        <f>G291</f>
        <v>64</v>
      </c>
      <c r="D919" s="1" t="s">
        <v>18</v>
      </c>
      <c r="E919" s="5">
        <v>200</v>
      </c>
      <c r="F919" s="1"/>
      <c r="G919" s="4">
        <f t="shared" ref="G919:G924" si="77">C919*E919</f>
        <v>12800</v>
      </c>
      <c r="H919" s="1" t="s">
        <v>10</v>
      </c>
      <c r="J919" s="31"/>
      <c r="K919" s="31"/>
    </row>
    <row r="920" spans="1:11">
      <c r="A920" s="11"/>
      <c r="B920" s="9" t="s">
        <v>32</v>
      </c>
      <c r="C920" s="5">
        <f>G355</f>
        <v>4</v>
      </c>
      <c r="D920" s="1" t="s">
        <v>18</v>
      </c>
      <c r="E920" s="5">
        <v>100</v>
      </c>
      <c r="F920" s="1"/>
      <c r="G920" s="4">
        <f t="shared" si="77"/>
        <v>400</v>
      </c>
      <c r="H920" s="1" t="s">
        <v>10</v>
      </c>
      <c r="J920" s="31"/>
      <c r="K920" s="31"/>
    </row>
    <row r="921" spans="1:11">
      <c r="A921" s="11"/>
      <c r="B921" s="9" t="s">
        <v>90</v>
      </c>
      <c r="C921" s="5">
        <f>G391</f>
        <v>3</v>
      </c>
      <c r="D921" s="1" t="s">
        <v>18</v>
      </c>
      <c r="E921" s="5">
        <v>150</v>
      </c>
      <c r="F921" s="1"/>
      <c r="G921" s="4">
        <f t="shared" si="77"/>
        <v>450</v>
      </c>
      <c r="H921" s="1" t="s">
        <v>10</v>
      </c>
      <c r="J921" s="31"/>
      <c r="K921" s="31"/>
    </row>
    <row r="922" spans="1:11">
      <c r="A922" s="11"/>
      <c r="B922" s="9" t="s">
        <v>86</v>
      </c>
      <c r="C922" s="5">
        <f>G425</f>
        <v>132</v>
      </c>
      <c r="D922" s="1" t="s">
        <v>18</v>
      </c>
      <c r="E922" s="5">
        <v>75</v>
      </c>
      <c r="F922" s="1"/>
      <c r="G922" s="4">
        <f t="shared" si="77"/>
        <v>9900</v>
      </c>
      <c r="H922" s="1" t="s">
        <v>10</v>
      </c>
      <c r="J922" s="31"/>
      <c r="K922" s="31"/>
    </row>
    <row r="923" spans="1:11">
      <c r="A923" s="11"/>
      <c r="B923" s="9" t="s">
        <v>88</v>
      </c>
      <c r="C923" s="5">
        <f>G478</f>
        <v>2</v>
      </c>
      <c r="D923" s="1" t="s">
        <v>18</v>
      </c>
      <c r="E923" s="5">
        <v>100</v>
      </c>
      <c r="F923" s="1"/>
      <c r="G923" s="4">
        <f t="shared" si="77"/>
        <v>200</v>
      </c>
      <c r="H923" s="1" t="s">
        <v>10</v>
      </c>
      <c r="J923" s="31"/>
      <c r="K923" s="31"/>
    </row>
    <row r="924" spans="1:11">
      <c r="A924" s="11"/>
      <c r="B924" s="9" t="s">
        <v>89</v>
      </c>
      <c r="C924" s="5">
        <f>G499</f>
        <v>2</v>
      </c>
      <c r="D924" s="1" t="s">
        <v>18</v>
      </c>
      <c r="E924" s="5">
        <v>50</v>
      </c>
      <c r="F924" s="1"/>
      <c r="G924" s="4">
        <f t="shared" si="77"/>
        <v>100</v>
      </c>
      <c r="H924" s="1" t="s">
        <v>10</v>
      </c>
      <c r="J924" s="31"/>
      <c r="K924" s="31"/>
    </row>
    <row r="925" spans="1:11">
      <c r="A925" s="11"/>
      <c r="B925" s="9"/>
      <c r="C925" s="5"/>
      <c r="D925" s="1"/>
      <c r="E925" s="5"/>
      <c r="F925" s="1"/>
      <c r="G925" s="4"/>
      <c r="H925" s="1"/>
      <c r="J925" s="31"/>
      <c r="K925" s="31"/>
    </row>
    <row r="926" spans="1:11">
      <c r="A926" s="11"/>
      <c r="B926" s="9"/>
      <c r="C926" s="1"/>
      <c r="D926" s="1"/>
      <c r="E926" s="1"/>
      <c r="F926" s="34" t="s">
        <v>11</v>
      </c>
      <c r="G926" s="53">
        <f>SUM(G918:G925)</f>
        <v>28850</v>
      </c>
      <c r="H926" s="50" t="s">
        <v>19</v>
      </c>
      <c r="J926" s="31"/>
      <c r="K926" s="31"/>
    </row>
    <row r="927" spans="1:11">
      <c r="A927" s="11"/>
      <c r="B927" s="9"/>
      <c r="C927" s="1"/>
      <c r="D927" s="1"/>
      <c r="E927" s="1"/>
      <c r="F927" s="56" t="s">
        <v>13</v>
      </c>
      <c r="G927" s="27">
        <f>ROUNDUP(G926,0)</f>
        <v>28850</v>
      </c>
      <c r="H927" s="28" t="s">
        <v>24</v>
      </c>
      <c r="J927" s="31"/>
      <c r="K927" s="31"/>
    </row>
    <row r="928" spans="1:11">
      <c r="A928" s="11"/>
      <c r="B928" s="9"/>
      <c r="C928" s="1"/>
      <c r="D928" s="1"/>
      <c r="E928" s="1"/>
      <c r="F928" s="1"/>
      <c r="G928" s="33"/>
      <c r="H928" s="24"/>
      <c r="J928" s="31"/>
      <c r="K928" s="31"/>
    </row>
    <row r="929" spans="1:11">
      <c r="A929" s="11"/>
      <c r="B929" s="15" t="s">
        <v>57</v>
      </c>
      <c r="C929" s="1"/>
      <c r="D929" s="1"/>
      <c r="E929" s="1"/>
      <c r="F929" s="1"/>
      <c r="G929" s="33"/>
      <c r="H929" s="24"/>
      <c r="J929" s="31"/>
      <c r="K929" s="31"/>
    </row>
    <row r="930" spans="1:11">
      <c r="A930" s="11"/>
      <c r="B930" s="9" t="s">
        <v>50</v>
      </c>
      <c r="C930" s="5">
        <f>G196</f>
        <v>13</v>
      </c>
      <c r="D930" s="1" t="s">
        <v>18</v>
      </c>
      <c r="E930" s="5">
        <v>250</v>
      </c>
      <c r="F930" s="1"/>
      <c r="G930" s="4">
        <f>C930*E930</f>
        <v>3250</v>
      </c>
      <c r="H930" s="1" t="s">
        <v>19</v>
      </c>
      <c r="J930" s="31"/>
      <c r="K930" s="31"/>
    </row>
    <row r="931" spans="1:11">
      <c r="A931" s="11"/>
      <c r="B931" s="9" t="s">
        <v>59</v>
      </c>
      <c r="C931" s="5">
        <f>G309</f>
        <v>28</v>
      </c>
      <c r="D931" s="1" t="s">
        <v>18</v>
      </c>
      <c r="E931" s="5">
        <v>200</v>
      </c>
      <c r="F931" s="1"/>
      <c r="G931" s="4">
        <f t="shared" ref="G931:G936" si="78">C931*E931</f>
        <v>5600</v>
      </c>
      <c r="H931" s="1" t="s">
        <v>10</v>
      </c>
      <c r="J931" s="31"/>
      <c r="K931" s="31"/>
    </row>
    <row r="932" spans="1:11">
      <c r="A932" s="11"/>
      <c r="B932" s="9" t="s">
        <v>32</v>
      </c>
      <c r="C932" s="5">
        <f>G366</f>
        <v>3</v>
      </c>
      <c r="D932" s="1" t="s">
        <v>18</v>
      </c>
      <c r="E932" s="5">
        <v>100</v>
      </c>
      <c r="F932" s="1"/>
      <c r="G932" s="4">
        <f t="shared" si="78"/>
        <v>300</v>
      </c>
      <c r="H932" s="1" t="s">
        <v>10</v>
      </c>
      <c r="J932" s="31"/>
      <c r="K932" s="31"/>
    </row>
    <row r="933" spans="1:11">
      <c r="A933" s="11"/>
      <c r="B933" s="9" t="s">
        <v>90</v>
      </c>
      <c r="C933" s="5">
        <f>G399</f>
        <v>3</v>
      </c>
      <c r="D933" s="1" t="s">
        <v>18</v>
      </c>
      <c r="E933" s="5">
        <v>150</v>
      </c>
      <c r="F933" s="1"/>
      <c r="G933" s="4">
        <f t="shared" si="78"/>
        <v>450</v>
      </c>
      <c r="H933" s="1" t="s">
        <v>10</v>
      </c>
      <c r="J933" s="31"/>
      <c r="K933" s="31"/>
    </row>
    <row r="934" spans="1:11">
      <c r="A934" s="11"/>
      <c r="B934" s="9" t="s">
        <v>86</v>
      </c>
      <c r="C934" s="5">
        <f>G432</f>
        <v>33</v>
      </c>
      <c r="D934" s="1" t="s">
        <v>18</v>
      </c>
      <c r="E934" s="5">
        <v>75</v>
      </c>
      <c r="F934" s="1"/>
      <c r="G934" s="4">
        <f t="shared" si="78"/>
        <v>2475</v>
      </c>
      <c r="H934" s="1" t="s">
        <v>10</v>
      </c>
      <c r="J934" s="31"/>
      <c r="K934" s="31"/>
    </row>
    <row r="935" spans="1:11">
      <c r="A935" s="11"/>
      <c r="B935" s="9" t="s">
        <v>88</v>
      </c>
      <c r="C935" s="5">
        <f>G487</f>
        <v>4</v>
      </c>
      <c r="D935" s="1" t="s">
        <v>18</v>
      </c>
      <c r="E935" s="5">
        <v>100</v>
      </c>
      <c r="F935" s="1"/>
      <c r="G935" s="4">
        <f t="shared" si="78"/>
        <v>400</v>
      </c>
      <c r="H935" s="1" t="s">
        <v>10</v>
      </c>
      <c r="J935" s="31"/>
      <c r="K935" s="31"/>
    </row>
    <row r="936" spans="1:11">
      <c r="A936" s="11"/>
      <c r="B936" s="9" t="s">
        <v>89</v>
      </c>
      <c r="C936" s="5">
        <f>G506</f>
        <v>1</v>
      </c>
      <c r="D936" s="1" t="s">
        <v>18</v>
      </c>
      <c r="E936" s="5">
        <v>50</v>
      </c>
      <c r="F936" s="1"/>
      <c r="G936" s="4">
        <f t="shared" si="78"/>
        <v>50</v>
      </c>
      <c r="H936" s="1" t="s">
        <v>10</v>
      </c>
      <c r="J936" s="31"/>
      <c r="K936" s="31"/>
    </row>
    <row r="937" spans="1:11">
      <c r="A937" s="11"/>
      <c r="B937" s="9"/>
      <c r="C937" s="5"/>
      <c r="D937" s="1"/>
      <c r="E937" s="5"/>
      <c r="F937" s="1"/>
      <c r="G937" s="4"/>
      <c r="H937" s="1"/>
      <c r="J937" s="31"/>
      <c r="K937" s="31"/>
    </row>
    <row r="938" spans="1:11">
      <c r="A938" s="11"/>
      <c r="B938" s="9"/>
      <c r="C938" s="1"/>
      <c r="D938" s="1"/>
      <c r="E938" s="1"/>
      <c r="F938" s="34" t="s">
        <v>11</v>
      </c>
      <c r="G938" s="53">
        <f>SUM(G930:G937)</f>
        <v>12525</v>
      </c>
      <c r="H938" s="50" t="s">
        <v>19</v>
      </c>
      <c r="J938" s="31"/>
      <c r="K938" s="31"/>
    </row>
    <row r="939" spans="1:11">
      <c r="A939" s="11"/>
      <c r="B939" s="9"/>
      <c r="C939" s="1"/>
      <c r="D939" s="1"/>
      <c r="E939" s="1"/>
      <c r="F939" s="56" t="s">
        <v>13</v>
      </c>
      <c r="G939" s="27">
        <f>ROUNDUP(G938,0)</f>
        <v>12525</v>
      </c>
      <c r="H939" s="28" t="s">
        <v>24</v>
      </c>
      <c r="J939" s="31"/>
      <c r="K939" s="31"/>
    </row>
    <row r="940" spans="1:11">
      <c r="A940" s="18"/>
      <c r="B940" s="9"/>
      <c r="F940" s="1"/>
      <c r="G940" s="33"/>
      <c r="H940" s="24"/>
      <c r="J940" s="31"/>
      <c r="K940" s="31"/>
    </row>
    <row r="941" spans="1:11">
      <c r="A941" s="18"/>
      <c r="B941" s="9"/>
      <c r="F941" s="1"/>
      <c r="G941" s="33"/>
      <c r="H941" s="24"/>
      <c r="J941" s="31"/>
      <c r="K941" s="31"/>
    </row>
    <row r="942" spans="1:11">
      <c r="A942" s="18"/>
      <c r="B942" s="15" t="s">
        <v>463</v>
      </c>
      <c r="F942" s="1"/>
      <c r="G942" s="33"/>
      <c r="H942" s="24"/>
      <c r="J942" s="31"/>
      <c r="K942" s="31"/>
    </row>
    <row r="943" spans="1:11">
      <c r="A943" s="18"/>
      <c r="B943" s="9" t="s">
        <v>50</v>
      </c>
      <c r="C943" s="5">
        <f>G204</f>
        <v>7</v>
      </c>
      <c r="D943" s="1" t="s">
        <v>18</v>
      </c>
      <c r="E943" s="5">
        <v>250</v>
      </c>
      <c r="F943" s="1"/>
      <c r="G943" s="4">
        <f>C943*E943</f>
        <v>1750</v>
      </c>
      <c r="H943" s="1" t="s">
        <v>19</v>
      </c>
      <c r="J943" s="31"/>
      <c r="K943" s="31"/>
    </row>
    <row r="944" spans="1:11">
      <c r="A944" s="18"/>
      <c r="B944" s="9" t="s">
        <v>59</v>
      </c>
      <c r="C944" s="5">
        <f>G318</f>
        <v>28</v>
      </c>
      <c r="D944" s="1" t="s">
        <v>18</v>
      </c>
      <c r="E944" s="5">
        <v>200</v>
      </c>
      <c r="F944" s="1"/>
      <c r="G944" s="4">
        <f>C944*E944</f>
        <v>5600</v>
      </c>
      <c r="H944" s="1" t="s">
        <v>10</v>
      </c>
      <c r="J944" s="31"/>
      <c r="K944" s="31"/>
    </row>
    <row r="945" spans="1:11">
      <c r="A945" s="18"/>
      <c r="B945" s="9" t="s">
        <v>86</v>
      </c>
      <c r="C945" s="5">
        <f>G440</f>
        <v>16</v>
      </c>
      <c r="D945" s="1" t="s">
        <v>18</v>
      </c>
      <c r="E945" s="5">
        <v>75</v>
      </c>
      <c r="F945" s="1"/>
      <c r="G945" s="4">
        <f>C945*E945</f>
        <v>1200</v>
      </c>
      <c r="H945" s="1" t="s">
        <v>10</v>
      </c>
      <c r="J945" s="31"/>
      <c r="K945" s="31"/>
    </row>
    <row r="946" spans="1:11">
      <c r="A946" s="18"/>
      <c r="B946" s="9" t="s">
        <v>87</v>
      </c>
      <c r="C946" s="5">
        <f>G456</f>
        <v>14</v>
      </c>
      <c r="D946" s="1" t="s">
        <v>18</v>
      </c>
      <c r="E946" s="5">
        <v>125</v>
      </c>
      <c r="F946" s="1"/>
      <c r="G946" s="4">
        <f>C946*E946</f>
        <v>1750</v>
      </c>
      <c r="H946" s="1" t="s">
        <v>10</v>
      </c>
      <c r="J946" s="31"/>
      <c r="K946" s="31"/>
    </row>
    <row r="947" spans="1:11">
      <c r="A947" s="18"/>
      <c r="B947" s="9"/>
      <c r="F947" s="1"/>
      <c r="G947" s="33"/>
      <c r="H947" s="24"/>
      <c r="J947" s="31"/>
      <c r="K947" s="31"/>
    </row>
    <row r="948" spans="1:11">
      <c r="A948" s="18"/>
      <c r="B948" s="9"/>
      <c r="F948" s="34" t="s">
        <v>11</v>
      </c>
      <c r="G948" s="53">
        <f>SUM(G943:G947)</f>
        <v>10300</v>
      </c>
      <c r="H948" s="50" t="s">
        <v>19</v>
      </c>
      <c r="J948" s="31"/>
      <c r="K948" s="31"/>
    </row>
    <row r="949" spans="1:11">
      <c r="A949" s="18"/>
      <c r="B949" s="9"/>
      <c r="F949" s="56" t="s">
        <v>13</v>
      </c>
      <c r="G949" s="27">
        <f>ROUNDUP(G948,0)</f>
        <v>10300</v>
      </c>
      <c r="H949" s="28" t="s">
        <v>24</v>
      </c>
      <c r="J949" s="31"/>
      <c r="K949" s="31"/>
    </row>
    <row r="950" spans="1:11">
      <c r="A950" s="18"/>
      <c r="B950" s="9"/>
      <c r="F950" s="1"/>
      <c r="G950" s="33"/>
      <c r="H950" s="24"/>
      <c r="J950" s="31"/>
      <c r="K950" s="31"/>
    </row>
    <row r="951" spans="1:11">
      <c r="A951" s="18">
        <f>A901+1</f>
        <v>30</v>
      </c>
      <c r="B951" s="9" t="s">
        <v>72</v>
      </c>
      <c r="F951" s="1"/>
      <c r="G951" s="33"/>
      <c r="H951" s="24"/>
      <c r="J951" s="31"/>
      <c r="K951" s="31"/>
    </row>
    <row r="952" spans="1:11">
      <c r="A952" s="18"/>
      <c r="B952" s="15" t="s">
        <v>56</v>
      </c>
      <c r="F952" s="1"/>
      <c r="G952" s="33"/>
      <c r="H952" s="24"/>
      <c r="J952" s="31"/>
      <c r="K952" s="31"/>
    </row>
    <row r="953" spans="1:11">
      <c r="A953" s="79"/>
      <c r="B953" s="46" t="s">
        <v>425</v>
      </c>
      <c r="C953" s="1">
        <v>3</v>
      </c>
      <c r="D953" s="5">
        <v>5.2</v>
      </c>
      <c r="E953" s="5">
        <v>0.23</v>
      </c>
      <c r="F953" s="5">
        <v>3.9</v>
      </c>
      <c r="G953" s="4">
        <f>C953*D953*E953*F953</f>
        <v>13.993200000000002</v>
      </c>
      <c r="H953" s="1" t="s">
        <v>9</v>
      </c>
      <c r="J953" s="31"/>
      <c r="K953" s="31"/>
    </row>
    <row r="954" spans="1:11">
      <c r="A954" s="79"/>
      <c r="B954" s="46"/>
      <c r="C954" s="1">
        <v>4</v>
      </c>
      <c r="D954" s="5">
        <v>5.2</v>
      </c>
      <c r="E954" s="5">
        <v>0.23</v>
      </c>
      <c r="F954" s="5">
        <f>0.45+1.2</f>
        <v>1.65</v>
      </c>
      <c r="G954" s="4">
        <f t="shared" ref="G954:G1009" si="79">C954*D954*E954*F954</f>
        <v>7.8936000000000011</v>
      </c>
      <c r="H954" s="1" t="s">
        <v>10</v>
      </c>
      <c r="J954" s="31"/>
      <c r="K954" s="31"/>
    </row>
    <row r="955" spans="1:11">
      <c r="A955" s="79"/>
      <c r="B955" s="46"/>
      <c r="C955" s="1">
        <v>2</v>
      </c>
      <c r="D955" s="5">
        <v>5.2</v>
      </c>
      <c r="E955" s="5">
        <v>0.23</v>
      </c>
      <c r="F955" s="5">
        <v>1.9</v>
      </c>
      <c r="G955" s="4">
        <f t="shared" si="79"/>
        <v>4.5448000000000004</v>
      </c>
      <c r="H955" s="1" t="s">
        <v>10</v>
      </c>
      <c r="J955" s="31"/>
      <c r="K955" s="31"/>
    </row>
    <row r="956" spans="1:11">
      <c r="A956" s="79"/>
      <c r="B956" s="46"/>
      <c r="C956" s="1">
        <v>1</v>
      </c>
      <c r="D956" s="5">
        <v>5.2</v>
      </c>
      <c r="E956" s="5">
        <v>0.23</v>
      </c>
      <c r="F956" s="5">
        <v>2.1</v>
      </c>
      <c r="G956" s="4">
        <f t="shared" si="79"/>
        <v>2.5116000000000005</v>
      </c>
      <c r="H956" s="1" t="s">
        <v>10</v>
      </c>
      <c r="J956" s="31"/>
      <c r="K956" s="31"/>
    </row>
    <row r="957" spans="1:11">
      <c r="A957" s="79"/>
      <c r="B957" s="46" t="s">
        <v>426</v>
      </c>
      <c r="C957" s="1">
        <v>3</v>
      </c>
      <c r="D957" s="5">
        <v>5.2</v>
      </c>
      <c r="E957" s="5">
        <v>0.23</v>
      </c>
      <c r="F957" s="5">
        <v>3.9</v>
      </c>
      <c r="G957" s="4">
        <f t="shared" si="79"/>
        <v>13.993200000000002</v>
      </c>
      <c r="H957" s="1" t="s">
        <v>10</v>
      </c>
      <c r="J957" s="31"/>
      <c r="K957" s="31"/>
    </row>
    <row r="958" spans="1:11">
      <c r="A958" s="79"/>
      <c r="B958" s="46"/>
      <c r="C958" s="1">
        <v>5</v>
      </c>
      <c r="D958" s="5">
        <v>5.2</v>
      </c>
      <c r="E958" s="5">
        <v>0.23</v>
      </c>
      <c r="F958" s="5">
        <f>0.45+1.2</f>
        <v>1.65</v>
      </c>
      <c r="G958" s="4">
        <f t="shared" si="79"/>
        <v>9.8670000000000009</v>
      </c>
      <c r="H958" s="1" t="s">
        <v>10</v>
      </c>
      <c r="J958" s="31"/>
      <c r="K958" s="31"/>
    </row>
    <row r="959" spans="1:11">
      <c r="A959" s="79"/>
      <c r="B959" s="46"/>
      <c r="C959" s="1">
        <v>2</v>
      </c>
      <c r="D959" s="5">
        <v>5.2</v>
      </c>
      <c r="E959" s="5">
        <v>0.23</v>
      </c>
      <c r="F959" s="5">
        <v>1.9</v>
      </c>
      <c r="G959" s="4">
        <f t="shared" si="79"/>
        <v>4.5448000000000004</v>
      </c>
      <c r="H959" s="1" t="s">
        <v>10</v>
      </c>
      <c r="J959" s="31"/>
      <c r="K959" s="31"/>
    </row>
    <row r="960" spans="1:11">
      <c r="A960" s="79"/>
      <c r="B960" s="46"/>
      <c r="C960" s="1">
        <v>1</v>
      </c>
      <c r="D960" s="5">
        <v>5.2</v>
      </c>
      <c r="E960" s="5">
        <v>0.23</v>
      </c>
      <c r="F960" s="5">
        <v>2.1</v>
      </c>
      <c r="G960" s="4">
        <f t="shared" si="79"/>
        <v>2.5116000000000005</v>
      </c>
      <c r="H960" s="1" t="s">
        <v>10</v>
      </c>
      <c r="J960" s="31"/>
      <c r="K960" s="31"/>
    </row>
    <row r="961" spans="1:11">
      <c r="A961" s="79"/>
      <c r="B961" s="46" t="s">
        <v>427</v>
      </c>
      <c r="C961" s="1">
        <v>3</v>
      </c>
      <c r="D961" s="5">
        <v>5.2</v>
      </c>
      <c r="E961" s="5">
        <v>0.23</v>
      </c>
      <c r="F961" s="5">
        <v>3.9</v>
      </c>
      <c r="G961" s="4">
        <f t="shared" si="79"/>
        <v>13.993200000000002</v>
      </c>
      <c r="H961" s="1" t="s">
        <v>10</v>
      </c>
      <c r="J961" s="31"/>
      <c r="K961" s="31"/>
    </row>
    <row r="962" spans="1:11">
      <c r="A962" s="79"/>
      <c r="B962" s="46"/>
      <c r="C962" s="1">
        <v>5</v>
      </c>
      <c r="D962" s="5">
        <v>5.2</v>
      </c>
      <c r="E962" s="5">
        <v>0.23</v>
      </c>
      <c r="F962" s="5">
        <f>0.45+1.2</f>
        <v>1.65</v>
      </c>
      <c r="G962" s="4">
        <f t="shared" si="79"/>
        <v>9.8670000000000009</v>
      </c>
      <c r="H962" s="1" t="s">
        <v>10</v>
      </c>
      <c r="J962" s="31"/>
      <c r="K962" s="31"/>
    </row>
    <row r="963" spans="1:11">
      <c r="A963" s="79"/>
      <c r="B963" s="46"/>
      <c r="C963" s="1">
        <v>2</v>
      </c>
      <c r="D963" s="5">
        <v>5.2</v>
      </c>
      <c r="E963" s="5">
        <v>0.23</v>
      </c>
      <c r="F963" s="5">
        <v>1.9</v>
      </c>
      <c r="G963" s="4">
        <f t="shared" si="79"/>
        <v>4.5448000000000004</v>
      </c>
      <c r="H963" s="1" t="s">
        <v>10</v>
      </c>
      <c r="J963" s="31"/>
      <c r="K963" s="31"/>
    </row>
    <row r="964" spans="1:11">
      <c r="A964" s="79"/>
      <c r="B964" s="46"/>
      <c r="C964" s="1">
        <v>1</v>
      </c>
      <c r="D964" s="5">
        <v>5.2</v>
      </c>
      <c r="E964" s="5">
        <v>0.23</v>
      </c>
      <c r="F964" s="5">
        <v>2.1</v>
      </c>
      <c r="G964" s="4">
        <f t="shared" si="79"/>
        <v>2.5116000000000005</v>
      </c>
      <c r="H964" s="1" t="s">
        <v>10</v>
      </c>
      <c r="J964" s="31"/>
      <c r="K964" s="31"/>
    </row>
    <row r="965" spans="1:11">
      <c r="A965" s="13"/>
      <c r="B965" s="46" t="s">
        <v>428</v>
      </c>
      <c r="C965" s="1">
        <v>4</v>
      </c>
      <c r="D965" s="5">
        <v>3</v>
      </c>
      <c r="E965" s="5">
        <v>0.23</v>
      </c>
      <c r="F965" s="5">
        <v>3.9</v>
      </c>
      <c r="G965" s="4">
        <f t="shared" si="79"/>
        <v>10.764000000000001</v>
      </c>
      <c r="H965" s="1" t="s">
        <v>10</v>
      </c>
      <c r="J965" s="31"/>
      <c r="K965" s="31"/>
    </row>
    <row r="966" spans="1:11">
      <c r="A966" s="13"/>
      <c r="B966" s="46"/>
      <c r="C966" s="1">
        <v>6</v>
      </c>
      <c r="D966" s="5">
        <v>3</v>
      </c>
      <c r="E966" s="5">
        <v>0.23</v>
      </c>
      <c r="F966" s="5">
        <f>0.45+1.2</f>
        <v>1.65</v>
      </c>
      <c r="G966" s="4">
        <f t="shared" si="79"/>
        <v>6.8310000000000004</v>
      </c>
      <c r="H966" s="1" t="s">
        <v>10</v>
      </c>
      <c r="J966" s="31"/>
      <c r="K966" s="31"/>
    </row>
    <row r="967" spans="1:11">
      <c r="A967" s="13"/>
      <c r="B967" s="46"/>
      <c r="C967" s="1">
        <v>2</v>
      </c>
      <c r="D967" s="5">
        <v>3</v>
      </c>
      <c r="E967" s="5">
        <v>0.23</v>
      </c>
      <c r="F967" s="5">
        <v>1.9</v>
      </c>
      <c r="G967" s="4">
        <f t="shared" si="79"/>
        <v>2.6219999999999999</v>
      </c>
      <c r="H967" s="1" t="s">
        <v>10</v>
      </c>
      <c r="J967" s="31"/>
      <c r="K967" s="31"/>
    </row>
    <row r="968" spans="1:11">
      <c r="A968" s="13"/>
      <c r="B968" s="46"/>
      <c r="C968" s="1">
        <v>1</v>
      </c>
      <c r="D968" s="5">
        <v>3</v>
      </c>
      <c r="E968" s="5">
        <v>0.23</v>
      </c>
      <c r="F968" s="5">
        <v>2.1</v>
      </c>
      <c r="G968" s="4">
        <f t="shared" si="79"/>
        <v>1.4490000000000003</v>
      </c>
      <c r="H968" s="1" t="s">
        <v>10</v>
      </c>
      <c r="J968" s="31"/>
      <c r="K968" s="31"/>
    </row>
    <row r="969" spans="1:11">
      <c r="A969" s="13"/>
      <c r="B969" s="46" t="s">
        <v>429</v>
      </c>
      <c r="C969" s="1">
        <v>4</v>
      </c>
      <c r="D969" s="5">
        <v>2.2000000000000002</v>
      </c>
      <c r="E969" s="5">
        <v>0.23</v>
      </c>
      <c r="F969" s="5">
        <v>3.9</v>
      </c>
      <c r="G969" s="4">
        <f t="shared" si="79"/>
        <v>7.8936000000000019</v>
      </c>
      <c r="H969" s="1" t="s">
        <v>10</v>
      </c>
      <c r="J969" s="31"/>
      <c r="K969" s="31"/>
    </row>
    <row r="970" spans="1:11">
      <c r="A970" s="13"/>
      <c r="B970" s="46"/>
      <c r="C970" s="1">
        <v>4</v>
      </c>
      <c r="D970" s="5">
        <v>2.2000000000000002</v>
      </c>
      <c r="E970" s="5">
        <v>0.23</v>
      </c>
      <c r="F970" s="5">
        <f>0.45+1.2</f>
        <v>1.65</v>
      </c>
      <c r="G970" s="4">
        <f t="shared" si="79"/>
        <v>3.3396000000000008</v>
      </c>
      <c r="H970" s="1" t="s">
        <v>10</v>
      </c>
      <c r="J970" s="31"/>
      <c r="K970" s="31"/>
    </row>
    <row r="971" spans="1:11">
      <c r="A971" s="13"/>
      <c r="B971" s="46"/>
      <c r="C971" s="1">
        <v>2</v>
      </c>
      <c r="D971" s="5">
        <v>2.2000000000000002</v>
      </c>
      <c r="E971" s="5">
        <v>0.23</v>
      </c>
      <c r="F971" s="5">
        <v>1.9</v>
      </c>
      <c r="G971" s="4">
        <f t="shared" si="79"/>
        <v>1.9228000000000003</v>
      </c>
      <c r="H971" s="1" t="s">
        <v>10</v>
      </c>
      <c r="J971" s="31"/>
      <c r="K971" s="31"/>
    </row>
    <row r="972" spans="1:11">
      <c r="A972" s="13"/>
      <c r="B972" s="46"/>
      <c r="C972" s="1">
        <v>1</v>
      </c>
      <c r="D972" s="5">
        <v>2.2000000000000002</v>
      </c>
      <c r="E972" s="5">
        <v>0.23</v>
      </c>
      <c r="F972" s="5">
        <v>2.1</v>
      </c>
      <c r="G972" s="4">
        <f t="shared" si="79"/>
        <v>1.0626000000000002</v>
      </c>
      <c r="H972" s="1" t="s">
        <v>10</v>
      </c>
      <c r="J972" s="31"/>
      <c r="K972" s="31"/>
    </row>
    <row r="973" spans="1:11">
      <c r="A973" s="13"/>
      <c r="B973" s="46" t="s">
        <v>430</v>
      </c>
      <c r="C973" s="1">
        <v>2</v>
      </c>
      <c r="D973" s="5">
        <v>5.2</v>
      </c>
      <c r="E973" s="5">
        <v>0.23</v>
      </c>
      <c r="F973" s="5">
        <v>3.9</v>
      </c>
      <c r="G973" s="4">
        <f t="shared" si="79"/>
        <v>9.3288000000000011</v>
      </c>
      <c r="H973" s="1" t="s">
        <v>10</v>
      </c>
      <c r="J973" s="31"/>
      <c r="K973" s="31"/>
    </row>
    <row r="974" spans="1:11">
      <c r="A974" s="13"/>
      <c r="B974" s="46"/>
      <c r="C974" s="1">
        <v>3</v>
      </c>
      <c r="D974" s="5">
        <v>5.2</v>
      </c>
      <c r="E974" s="5">
        <v>0.23</v>
      </c>
      <c r="F974" s="5">
        <f>0.45+1.2</f>
        <v>1.65</v>
      </c>
      <c r="G974" s="4">
        <f t="shared" si="79"/>
        <v>5.9202000000000004</v>
      </c>
      <c r="H974" s="1" t="s">
        <v>10</v>
      </c>
      <c r="J974" s="31"/>
      <c r="K974" s="31"/>
    </row>
    <row r="975" spans="1:11">
      <c r="A975" s="13"/>
      <c r="B975" s="46"/>
      <c r="C975" s="1">
        <v>2</v>
      </c>
      <c r="D975" s="5">
        <v>5.2</v>
      </c>
      <c r="E975" s="5">
        <v>0.23</v>
      </c>
      <c r="F975" s="5">
        <v>1.9</v>
      </c>
      <c r="G975" s="4">
        <f t="shared" si="79"/>
        <v>4.5448000000000004</v>
      </c>
      <c r="H975" s="1" t="s">
        <v>10</v>
      </c>
      <c r="J975" s="31"/>
      <c r="K975" s="31"/>
    </row>
    <row r="976" spans="1:11">
      <c r="A976" s="13"/>
      <c r="B976" s="46"/>
      <c r="C976" s="1">
        <v>1</v>
      </c>
      <c r="D976" s="5">
        <v>5.2</v>
      </c>
      <c r="E976" s="5">
        <v>0.23</v>
      </c>
      <c r="F976" s="5">
        <v>2.1</v>
      </c>
      <c r="G976" s="4">
        <f t="shared" si="79"/>
        <v>2.5116000000000005</v>
      </c>
      <c r="H976" s="1" t="s">
        <v>10</v>
      </c>
      <c r="J976" s="31"/>
      <c r="K976" s="31"/>
    </row>
    <row r="977" spans="1:11">
      <c r="A977" s="13"/>
      <c r="B977" s="46" t="s">
        <v>431</v>
      </c>
      <c r="C977" s="1">
        <v>4</v>
      </c>
      <c r="D977" s="5">
        <v>2.5</v>
      </c>
      <c r="E977" s="5">
        <v>0.23</v>
      </c>
      <c r="F977" s="5">
        <v>3.9</v>
      </c>
      <c r="G977" s="4">
        <f t="shared" si="79"/>
        <v>8.9700000000000006</v>
      </c>
      <c r="H977" s="1" t="s">
        <v>10</v>
      </c>
      <c r="J977" s="31"/>
      <c r="K977" s="31"/>
    </row>
    <row r="978" spans="1:11">
      <c r="A978" s="13"/>
      <c r="B978" s="46"/>
      <c r="C978" s="1">
        <v>4</v>
      </c>
      <c r="D978" s="5">
        <v>2.5</v>
      </c>
      <c r="E978" s="5">
        <v>0.23</v>
      </c>
      <c r="F978" s="5">
        <f>0.45+1.2</f>
        <v>1.65</v>
      </c>
      <c r="G978" s="4">
        <f t="shared" si="79"/>
        <v>3.7950000000000004</v>
      </c>
      <c r="H978" s="1" t="s">
        <v>10</v>
      </c>
      <c r="J978" s="31"/>
      <c r="K978" s="31"/>
    </row>
    <row r="979" spans="1:11">
      <c r="A979" s="13"/>
      <c r="B979" s="46"/>
      <c r="C979" s="1">
        <v>2</v>
      </c>
      <c r="D979" s="5">
        <v>2.5</v>
      </c>
      <c r="E979" s="5">
        <v>0.23</v>
      </c>
      <c r="F979" s="5">
        <v>1.9</v>
      </c>
      <c r="G979" s="4">
        <f t="shared" si="79"/>
        <v>2.1850000000000001</v>
      </c>
      <c r="H979" s="1" t="s">
        <v>10</v>
      </c>
      <c r="J979" s="31"/>
      <c r="K979" s="31"/>
    </row>
    <row r="980" spans="1:11">
      <c r="A980" s="13"/>
      <c r="B980" s="46"/>
      <c r="C980" s="1">
        <v>1</v>
      </c>
      <c r="D980" s="5">
        <v>2.5</v>
      </c>
      <c r="E980" s="5">
        <v>0.23</v>
      </c>
      <c r="F980" s="5">
        <v>2.1</v>
      </c>
      <c r="G980" s="4">
        <f t="shared" si="79"/>
        <v>1.2075000000000002</v>
      </c>
      <c r="H980" s="1" t="s">
        <v>10</v>
      </c>
      <c r="J980" s="31"/>
      <c r="K980" s="31"/>
    </row>
    <row r="981" spans="1:11">
      <c r="A981" s="13"/>
      <c r="B981" s="46" t="s">
        <v>432</v>
      </c>
      <c r="C981" s="1">
        <v>4</v>
      </c>
      <c r="D981" s="5">
        <v>2.5</v>
      </c>
      <c r="E981" s="5">
        <v>0.23</v>
      </c>
      <c r="F981" s="5">
        <v>3.9</v>
      </c>
      <c r="G981" s="4">
        <f t="shared" si="79"/>
        <v>8.9700000000000006</v>
      </c>
      <c r="H981" s="1" t="s">
        <v>10</v>
      </c>
      <c r="J981" s="31"/>
      <c r="K981" s="31"/>
    </row>
    <row r="982" spans="1:11">
      <c r="A982" s="13"/>
      <c r="B982" s="46"/>
      <c r="C982" s="1">
        <v>6</v>
      </c>
      <c r="D982" s="5">
        <v>2.5</v>
      </c>
      <c r="E982" s="5">
        <v>0.23</v>
      </c>
      <c r="F982" s="5">
        <f>0.45+1.2</f>
        <v>1.65</v>
      </c>
      <c r="G982" s="4">
        <f t="shared" si="79"/>
        <v>5.6924999999999999</v>
      </c>
      <c r="H982" s="1" t="s">
        <v>10</v>
      </c>
      <c r="J982" s="31"/>
      <c r="K982" s="31"/>
    </row>
    <row r="983" spans="1:11">
      <c r="A983" s="13"/>
      <c r="B983" s="46" t="s">
        <v>433</v>
      </c>
      <c r="C983" s="1">
        <v>5</v>
      </c>
      <c r="D983" s="5">
        <v>5</v>
      </c>
      <c r="E983" s="5">
        <v>0.23</v>
      </c>
      <c r="F983" s="5">
        <v>3.9</v>
      </c>
      <c r="G983" s="4">
        <f t="shared" si="79"/>
        <v>22.425000000000001</v>
      </c>
      <c r="H983" s="1" t="s">
        <v>10</v>
      </c>
      <c r="J983" s="31"/>
      <c r="K983" s="31"/>
    </row>
    <row r="984" spans="1:11">
      <c r="A984" s="13"/>
      <c r="B984" s="46"/>
      <c r="C984" s="1">
        <v>8</v>
      </c>
      <c r="D984" s="5">
        <v>5</v>
      </c>
      <c r="E984" s="5">
        <v>0.23</v>
      </c>
      <c r="F984" s="5">
        <f>0.45+1.2</f>
        <v>1.65</v>
      </c>
      <c r="G984" s="4">
        <f t="shared" si="79"/>
        <v>15.180000000000001</v>
      </c>
      <c r="H984" s="1" t="s">
        <v>10</v>
      </c>
      <c r="J984" s="31"/>
      <c r="K984" s="31"/>
    </row>
    <row r="985" spans="1:11">
      <c r="A985" s="13"/>
      <c r="B985" s="46" t="s">
        <v>434</v>
      </c>
      <c r="C985" s="1">
        <v>5</v>
      </c>
      <c r="D985" s="5">
        <v>5</v>
      </c>
      <c r="E985" s="5">
        <v>0.23</v>
      </c>
      <c r="F985" s="5">
        <v>3.9</v>
      </c>
      <c r="G985" s="4">
        <f t="shared" si="79"/>
        <v>22.425000000000001</v>
      </c>
      <c r="H985" s="1" t="s">
        <v>10</v>
      </c>
      <c r="J985" s="31"/>
      <c r="K985" s="31"/>
    </row>
    <row r="986" spans="1:11">
      <c r="A986" s="13"/>
      <c r="B986" s="46"/>
      <c r="C986" s="1">
        <v>11</v>
      </c>
      <c r="D986" s="5">
        <v>5</v>
      </c>
      <c r="E986" s="5">
        <v>0.23</v>
      </c>
      <c r="F986" s="5">
        <v>3.9</v>
      </c>
      <c r="G986" s="4">
        <f t="shared" si="79"/>
        <v>49.335000000000001</v>
      </c>
      <c r="H986" s="1" t="s">
        <v>10</v>
      </c>
      <c r="J986" s="31"/>
      <c r="K986" s="31"/>
    </row>
    <row r="987" spans="1:11">
      <c r="A987" s="13"/>
      <c r="B987" s="46" t="s">
        <v>435</v>
      </c>
      <c r="C987" s="1">
        <v>4</v>
      </c>
      <c r="D987" s="5">
        <v>0.79</v>
      </c>
      <c r="E987" s="5">
        <v>0.23</v>
      </c>
      <c r="F987" s="5">
        <f>0.45+1.2</f>
        <v>1.65</v>
      </c>
      <c r="G987" s="4">
        <f t="shared" si="79"/>
        <v>1.1992200000000002</v>
      </c>
      <c r="H987" s="1" t="s">
        <v>10</v>
      </c>
      <c r="J987" s="31"/>
      <c r="K987" s="31"/>
    </row>
    <row r="988" spans="1:11">
      <c r="A988" s="13"/>
      <c r="B988" s="46" t="s">
        <v>436</v>
      </c>
      <c r="C988" s="1">
        <v>7</v>
      </c>
      <c r="D988" s="5">
        <v>1.2</v>
      </c>
      <c r="E988" s="5">
        <v>0.23</v>
      </c>
      <c r="F988" s="5">
        <f>0.45+1.2</f>
        <v>1.65</v>
      </c>
      <c r="G988" s="4">
        <f t="shared" si="79"/>
        <v>3.1878000000000002</v>
      </c>
      <c r="H988" s="1" t="s">
        <v>10</v>
      </c>
      <c r="J988" s="31"/>
      <c r="K988" s="31"/>
    </row>
    <row r="989" spans="1:11">
      <c r="A989" s="13"/>
      <c r="B989" s="46" t="s">
        <v>437</v>
      </c>
      <c r="C989" s="1">
        <v>6</v>
      </c>
      <c r="D989" s="5">
        <v>4.5</v>
      </c>
      <c r="E989" s="5">
        <v>0.23</v>
      </c>
      <c r="F989" s="5">
        <v>3.9</v>
      </c>
      <c r="G989" s="4">
        <f t="shared" si="79"/>
        <v>24.218999999999998</v>
      </c>
      <c r="H989" s="1" t="s">
        <v>10</v>
      </c>
      <c r="J989" s="31"/>
      <c r="K989" s="31"/>
    </row>
    <row r="990" spans="1:11">
      <c r="A990" s="13"/>
      <c r="B990" s="46"/>
      <c r="C990" s="1">
        <v>12</v>
      </c>
      <c r="D990" s="5">
        <v>4.5</v>
      </c>
      <c r="E990" s="5">
        <v>0.23</v>
      </c>
      <c r="F990" s="5">
        <f>0.45+1.2</f>
        <v>1.65</v>
      </c>
      <c r="G990" s="4">
        <f t="shared" si="79"/>
        <v>20.492999999999999</v>
      </c>
      <c r="H990" s="1" t="s">
        <v>10</v>
      </c>
      <c r="J990" s="31"/>
      <c r="K990" s="31"/>
    </row>
    <row r="991" spans="1:11">
      <c r="A991" s="13"/>
      <c r="B991" s="46" t="s">
        <v>438</v>
      </c>
      <c r="C991" s="1">
        <v>8</v>
      </c>
      <c r="D991" s="5">
        <v>4.5</v>
      </c>
      <c r="E991" s="5">
        <v>0.23</v>
      </c>
      <c r="F991" s="5">
        <v>3.9</v>
      </c>
      <c r="G991" s="4">
        <f t="shared" si="79"/>
        <v>32.292000000000002</v>
      </c>
      <c r="H991" s="1" t="s">
        <v>10</v>
      </c>
      <c r="J991" s="31"/>
      <c r="K991" s="31"/>
    </row>
    <row r="992" spans="1:11">
      <c r="A992" s="13"/>
      <c r="B992" s="46"/>
      <c r="C992" s="1">
        <v>7</v>
      </c>
      <c r="D992" s="5">
        <v>4.5</v>
      </c>
      <c r="E992" s="5">
        <v>0.23</v>
      </c>
      <c r="F992" s="5">
        <f>0.45+1.2</f>
        <v>1.65</v>
      </c>
      <c r="G992" s="4">
        <f t="shared" si="79"/>
        <v>11.95425</v>
      </c>
      <c r="H992" s="1" t="s">
        <v>10</v>
      </c>
      <c r="J992" s="31"/>
      <c r="K992" s="31"/>
    </row>
    <row r="993" spans="1:11">
      <c r="A993" s="13"/>
      <c r="B993" s="46"/>
      <c r="C993" s="1">
        <v>4</v>
      </c>
      <c r="D993" s="5">
        <v>4.5</v>
      </c>
      <c r="E993" s="5">
        <v>0.23</v>
      </c>
      <c r="F993" s="5">
        <v>1.9</v>
      </c>
      <c r="G993" s="4">
        <f t="shared" si="79"/>
        <v>7.8660000000000005</v>
      </c>
      <c r="H993" s="1" t="s">
        <v>10</v>
      </c>
      <c r="J993" s="31"/>
      <c r="K993" s="31"/>
    </row>
    <row r="994" spans="1:11">
      <c r="A994" s="13"/>
      <c r="B994" s="46" t="s">
        <v>439</v>
      </c>
      <c r="C994" s="1">
        <v>3</v>
      </c>
      <c r="D994" s="5">
        <v>2.5</v>
      </c>
      <c r="E994" s="5">
        <v>0.23</v>
      </c>
      <c r="F994" s="5">
        <v>3.9</v>
      </c>
      <c r="G994" s="4">
        <f t="shared" si="79"/>
        <v>6.7275</v>
      </c>
      <c r="H994" s="1" t="s">
        <v>10</v>
      </c>
      <c r="J994" s="31"/>
      <c r="K994" s="31"/>
    </row>
    <row r="995" spans="1:11">
      <c r="A995" s="13"/>
      <c r="B995" s="46"/>
      <c r="C995" s="1">
        <v>2</v>
      </c>
      <c r="D995" s="5">
        <v>2.5</v>
      </c>
      <c r="E995" s="5">
        <v>0.23</v>
      </c>
      <c r="F995" s="5">
        <f>0.45+1.2</f>
        <v>1.65</v>
      </c>
      <c r="G995" s="4">
        <f t="shared" si="79"/>
        <v>1.8975000000000002</v>
      </c>
      <c r="H995" s="1" t="s">
        <v>10</v>
      </c>
      <c r="J995" s="31"/>
      <c r="K995" s="31"/>
    </row>
    <row r="996" spans="1:11">
      <c r="A996" s="13"/>
      <c r="B996" s="46"/>
      <c r="C996" s="1">
        <v>2</v>
      </c>
      <c r="D996" s="5">
        <v>2.5</v>
      </c>
      <c r="E996" s="5">
        <v>0.23</v>
      </c>
      <c r="F996" s="5">
        <v>1.9</v>
      </c>
      <c r="G996" s="4">
        <f t="shared" si="79"/>
        <v>2.1850000000000001</v>
      </c>
      <c r="H996" s="1" t="s">
        <v>10</v>
      </c>
      <c r="J996" s="31"/>
      <c r="K996" s="31"/>
    </row>
    <row r="997" spans="1:11">
      <c r="A997" s="13"/>
      <c r="B997" s="46" t="s">
        <v>440</v>
      </c>
      <c r="C997" s="1">
        <v>4</v>
      </c>
      <c r="D997" s="5">
        <v>2.5</v>
      </c>
      <c r="E997" s="5">
        <v>0.23</v>
      </c>
      <c r="F997" s="5">
        <v>3.9</v>
      </c>
      <c r="G997" s="4">
        <f t="shared" si="79"/>
        <v>8.9700000000000006</v>
      </c>
      <c r="H997" s="1" t="s">
        <v>10</v>
      </c>
      <c r="J997" s="31"/>
      <c r="K997" s="31"/>
    </row>
    <row r="998" spans="1:11">
      <c r="A998" s="13"/>
      <c r="B998" s="46"/>
      <c r="C998" s="1">
        <v>4</v>
      </c>
      <c r="D998" s="5">
        <v>2.5</v>
      </c>
      <c r="E998" s="5">
        <v>0.23</v>
      </c>
      <c r="F998" s="5">
        <f>0.45+1.2</f>
        <v>1.65</v>
      </c>
      <c r="G998" s="4">
        <f t="shared" si="79"/>
        <v>3.7950000000000004</v>
      </c>
      <c r="H998" s="1" t="s">
        <v>10</v>
      </c>
      <c r="J998" s="31"/>
      <c r="K998" s="31"/>
    </row>
    <row r="999" spans="1:11">
      <c r="A999" s="13"/>
      <c r="B999" s="46"/>
      <c r="C999" s="1">
        <v>2</v>
      </c>
      <c r="D999" s="5">
        <v>2.5</v>
      </c>
      <c r="E999" s="5">
        <v>0.23</v>
      </c>
      <c r="F999" s="5">
        <v>1.9</v>
      </c>
      <c r="G999" s="4">
        <f t="shared" si="79"/>
        <v>2.1850000000000001</v>
      </c>
      <c r="H999" s="1" t="s">
        <v>10</v>
      </c>
      <c r="J999" s="31"/>
      <c r="K999" s="31"/>
    </row>
    <row r="1000" spans="1:11">
      <c r="A1000" s="13"/>
      <c r="B1000" s="46" t="s">
        <v>441</v>
      </c>
      <c r="C1000" s="1">
        <v>5</v>
      </c>
      <c r="D1000" s="5">
        <v>1.25</v>
      </c>
      <c r="E1000" s="5">
        <v>0.23</v>
      </c>
      <c r="F1000" s="5">
        <v>3.9</v>
      </c>
      <c r="G1000" s="4">
        <f t="shared" si="79"/>
        <v>5.6062500000000002</v>
      </c>
      <c r="H1000" s="1" t="s">
        <v>10</v>
      </c>
      <c r="J1000" s="31"/>
      <c r="K1000" s="31"/>
    </row>
    <row r="1001" spans="1:11">
      <c r="A1001" s="13"/>
      <c r="B1001" s="46"/>
      <c r="C1001" s="1">
        <v>6</v>
      </c>
      <c r="D1001" s="5">
        <v>1.25</v>
      </c>
      <c r="E1001" s="5">
        <v>0.23</v>
      </c>
      <c r="F1001" s="5">
        <f>0.45+1.2</f>
        <v>1.65</v>
      </c>
      <c r="G1001" s="4">
        <f t="shared" si="79"/>
        <v>2.8462499999999999</v>
      </c>
      <c r="H1001" s="1" t="s">
        <v>10</v>
      </c>
      <c r="J1001" s="31"/>
      <c r="K1001" s="31"/>
    </row>
    <row r="1002" spans="1:11">
      <c r="A1002" s="13"/>
      <c r="B1002" s="46"/>
      <c r="C1002" s="1">
        <v>2</v>
      </c>
      <c r="D1002" s="5">
        <v>1.25</v>
      </c>
      <c r="E1002" s="5">
        <v>0.23</v>
      </c>
      <c r="F1002" s="5">
        <v>1.9</v>
      </c>
      <c r="G1002" s="4">
        <f t="shared" si="79"/>
        <v>1.0925</v>
      </c>
      <c r="H1002" s="1" t="s">
        <v>10</v>
      </c>
      <c r="J1002" s="31"/>
      <c r="K1002" s="31"/>
    </row>
    <row r="1003" spans="1:11">
      <c r="A1003" s="13"/>
      <c r="B1003" s="46" t="s">
        <v>442</v>
      </c>
      <c r="C1003" s="1">
        <v>5</v>
      </c>
      <c r="D1003" s="5">
        <v>3.75</v>
      </c>
      <c r="E1003" s="5">
        <v>0.23</v>
      </c>
      <c r="F1003" s="5">
        <v>3.9</v>
      </c>
      <c r="G1003" s="4">
        <f t="shared" si="79"/>
        <v>16.818749999999998</v>
      </c>
      <c r="H1003" s="1" t="s">
        <v>10</v>
      </c>
      <c r="J1003" s="31"/>
      <c r="K1003" s="31"/>
    </row>
    <row r="1004" spans="1:11">
      <c r="A1004" s="13"/>
      <c r="B1004" s="46"/>
      <c r="C1004" s="1">
        <v>6</v>
      </c>
      <c r="D1004" s="5">
        <v>3.75</v>
      </c>
      <c r="E1004" s="5">
        <v>0.23</v>
      </c>
      <c r="F1004" s="5">
        <f>0.45+1.2</f>
        <v>1.65</v>
      </c>
      <c r="G1004" s="4">
        <f t="shared" si="79"/>
        <v>8.5387499999999985</v>
      </c>
      <c r="H1004" s="1" t="s">
        <v>10</v>
      </c>
      <c r="J1004" s="31"/>
      <c r="K1004" s="31"/>
    </row>
    <row r="1005" spans="1:11">
      <c r="A1005" s="13"/>
      <c r="B1005" s="46"/>
      <c r="C1005" s="1">
        <v>2</v>
      </c>
      <c r="D1005" s="5">
        <v>3.75</v>
      </c>
      <c r="E1005" s="5">
        <v>0.23</v>
      </c>
      <c r="F1005" s="5">
        <v>1.9</v>
      </c>
      <c r="G1005" s="4">
        <f t="shared" si="79"/>
        <v>3.2774999999999999</v>
      </c>
      <c r="H1005" s="1" t="s">
        <v>10</v>
      </c>
      <c r="J1005" s="31"/>
      <c r="K1005" s="31"/>
    </row>
    <row r="1006" spans="1:11">
      <c r="A1006" s="13"/>
      <c r="B1006" s="46" t="s">
        <v>443</v>
      </c>
      <c r="C1006" s="1">
        <v>2</v>
      </c>
      <c r="D1006" s="5">
        <v>3.5</v>
      </c>
      <c r="E1006" s="5">
        <v>0.23</v>
      </c>
      <c r="F1006" s="5">
        <v>3.9</v>
      </c>
      <c r="G1006" s="4">
        <f t="shared" si="79"/>
        <v>6.2789999999999999</v>
      </c>
      <c r="H1006" s="1" t="s">
        <v>10</v>
      </c>
      <c r="J1006" s="31"/>
      <c r="K1006" s="31"/>
    </row>
    <row r="1007" spans="1:11">
      <c r="A1007" s="13"/>
      <c r="B1007" s="46"/>
      <c r="C1007" s="1">
        <v>5</v>
      </c>
      <c r="D1007" s="5">
        <v>3.5</v>
      </c>
      <c r="E1007" s="5">
        <v>0.23</v>
      </c>
      <c r="F1007" s="5">
        <f>0.45+1.2</f>
        <v>1.65</v>
      </c>
      <c r="G1007" s="4">
        <f t="shared" si="79"/>
        <v>6.6412500000000003</v>
      </c>
      <c r="H1007" s="1" t="s">
        <v>10</v>
      </c>
      <c r="J1007" s="31"/>
      <c r="K1007" s="31"/>
    </row>
    <row r="1008" spans="1:11">
      <c r="A1008" s="13"/>
      <c r="B1008" s="46"/>
      <c r="C1008" s="1">
        <v>1</v>
      </c>
      <c r="D1008" s="5">
        <v>3.5</v>
      </c>
      <c r="E1008" s="5">
        <v>0.23</v>
      </c>
      <c r="F1008" s="5">
        <v>1.9</v>
      </c>
      <c r="G1008" s="4">
        <f t="shared" si="79"/>
        <v>1.5295000000000001</v>
      </c>
      <c r="H1008" s="1" t="s">
        <v>10</v>
      </c>
      <c r="J1008" s="31"/>
      <c r="K1008" s="31"/>
    </row>
    <row r="1009" spans="1:11">
      <c r="A1009" s="13"/>
      <c r="B1009" s="46" t="s">
        <v>93</v>
      </c>
      <c r="C1009" s="1">
        <v>1</v>
      </c>
      <c r="D1009" s="5">
        <f>62.5+25</f>
        <v>87.5</v>
      </c>
      <c r="E1009" s="5">
        <v>0.23</v>
      </c>
      <c r="F1009" s="5">
        <v>0.9</v>
      </c>
      <c r="G1009" s="4">
        <f t="shared" si="79"/>
        <v>18.112500000000001</v>
      </c>
      <c r="H1009" s="1" t="s">
        <v>10</v>
      </c>
      <c r="J1009" s="31"/>
      <c r="K1009" s="31"/>
    </row>
    <row r="1010" spans="1:11">
      <c r="A1010" s="13"/>
      <c r="B1010" s="46" t="s">
        <v>73</v>
      </c>
      <c r="C1010" s="1"/>
      <c r="D1010" s="5"/>
      <c r="E1010" s="5"/>
      <c r="F1010" s="5"/>
      <c r="G1010" s="4"/>
      <c r="H1010" s="1"/>
      <c r="J1010" s="31"/>
      <c r="K1010" s="31"/>
    </row>
    <row r="1011" spans="1:11">
      <c r="A1011" s="13"/>
      <c r="B1011" s="46" t="s">
        <v>94</v>
      </c>
      <c r="C1011" s="1">
        <v>1</v>
      </c>
      <c r="D1011" s="5">
        <v>2</v>
      </c>
      <c r="E1011" s="5">
        <v>0.23</v>
      </c>
      <c r="F1011" s="5">
        <v>2.4500000000000002</v>
      </c>
      <c r="G1011" s="4">
        <f>-C1011*D1011*E1011*F1011</f>
        <v>-1.1270000000000002</v>
      </c>
      <c r="H1011" s="1" t="s">
        <v>10</v>
      </c>
      <c r="J1011" s="31"/>
      <c r="K1011" s="31"/>
    </row>
    <row r="1012" spans="1:11">
      <c r="A1012" s="13"/>
      <c r="B1012" s="46" t="s">
        <v>454</v>
      </c>
      <c r="C1012" s="1">
        <v>9</v>
      </c>
      <c r="D1012" s="5">
        <v>1.2</v>
      </c>
      <c r="E1012" s="5">
        <v>0.23</v>
      </c>
      <c r="F1012" s="5">
        <v>1.2</v>
      </c>
      <c r="G1012" s="4">
        <f t="shared" ref="G1012:G1028" si="80">-C1012*D1012*E1012*F1012</f>
        <v>-2.9807999999999999</v>
      </c>
      <c r="H1012" s="1" t="s">
        <v>10</v>
      </c>
      <c r="J1012" s="31"/>
      <c r="K1012" s="31"/>
    </row>
    <row r="1013" spans="1:11">
      <c r="A1013" s="13"/>
      <c r="B1013" s="46" t="s">
        <v>455</v>
      </c>
      <c r="C1013" s="1">
        <v>1</v>
      </c>
      <c r="D1013" s="5">
        <v>1.5</v>
      </c>
      <c r="E1013" s="5">
        <v>0.23</v>
      </c>
      <c r="F1013" s="5">
        <v>2.4500000000000002</v>
      </c>
      <c r="G1013" s="4">
        <f t="shared" si="80"/>
        <v>-0.84525000000000017</v>
      </c>
      <c r="H1013" s="1" t="s">
        <v>10</v>
      </c>
      <c r="J1013" s="31"/>
      <c r="K1013" s="31"/>
    </row>
    <row r="1014" spans="1:11">
      <c r="A1014" s="13"/>
      <c r="B1014" s="46" t="s">
        <v>30</v>
      </c>
      <c r="C1014" s="1">
        <v>1</v>
      </c>
      <c r="D1014" s="5">
        <v>1.8</v>
      </c>
      <c r="E1014" s="5">
        <v>0.23</v>
      </c>
      <c r="F1014" s="5">
        <v>2.4500000000000002</v>
      </c>
      <c r="G1014" s="4">
        <f t="shared" si="80"/>
        <v>-1.0143000000000002</v>
      </c>
      <c r="H1014" s="1" t="s">
        <v>10</v>
      </c>
      <c r="J1014" s="31"/>
      <c r="K1014" s="31"/>
    </row>
    <row r="1015" spans="1:11">
      <c r="A1015" s="13"/>
      <c r="B1015" s="46" t="s">
        <v>456</v>
      </c>
      <c r="C1015" s="1">
        <v>1</v>
      </c>
      <c r="D1015" s="5">
        <v>1.5</v>
      </c>
      <c r="E1015" s="5">
        <v>0.23</v>
      </c>
      <c r="F1015" s="5">
        <v>2.0499999999999998</v>
      </c>
      <c r="G1015" s="4">
        <f t="shared" si="80"/>
        <v>-0.70725000000000005</v>
      </c>
      <c r="H1015" s="1" t="s">
        <v>10</v>
      </c>
      <c r="J1015" s="31"/>
      <c r="K1015" s="31"/>
    </row>
    <row r="1016" spans="1:11">
      <c r="A1016" s="13"/>
      <c r="B1016" s="46" t="s">
        <v>29</v>
      </c>
      <c r="C1016" s="1">
        <v>11</v>
      </c>
      <c r="D1016" s="5">
        <v>1.35</v>
      </c>
      <c r="E1016" s="5">
        <v>0.23</v>
      </c>
      <c r="F1016" s="5">
        <v>2.4500000000000002</v>
      </c>
      <c r="G1016" s="4">
        <f t="shared" si="80"/>
        <v>-8.367975000000003</v>
      </c>
      <c r="H1016" s="1" t="s">
        <v>10</v>
      </c>
      <c r="J1016" s="31"/>
      <c r="K1016" s="31"/>
    </row>
    <row r="1017" spans="1:11">
      <c r="A1017" s="13"/>
      <c r="B1017" s="46" t="s">
        <v>95</v>
      </c>
      <c r="C1017" s="1">
        <v>2</v>
      </c>
      <c r="D1017" s="5">
        <v>1.2</v>
      </c>
      <c r="E1017" s="5">
        <v>0.23</v>
      </c>
      <c r="F1017" s="5">
        <v>2.4500000000000002</v>
      </c>
      <c r="G1017" s="4">
        <f t="shared" si="80"/>
        <v>-1.3524000000000003</v>
      </c>
      <c r="H1017" s="1" t="s">
        <v>10</v>
      </c>
      <c r="J1017" s="31"/>
      <c r="K1017" s="31"/>
    </row>
    <row r="1018" spans="1:11">
      <c r="A1018" s="13"/>
      <c r="B1018" s="46" t="s">
        <v>96</v>
      </c>
      <c r="C1018" s="1">
        <v>3</v>
      </c>
      <c r="D1018" s="5">
        <v>1.05</v>
      </c>
      <c r="E1018" s="5">
        <v>0.23</v>
      </c>
      <c r="F1018" s="5">
        <v>2.4500000000000002</v>
      </c>
      <c r="G1018" s="4">
        <f t="shared" si="80"/>
        <v>-1.7750250000000005</v>
      </c>
      <c r="H1018" s="1" t="s">
        <v>10</v>
      </c>
      <c r="J1018" s="31"/>
      <c r="K1018" s="31"/>
    </row>
    <row r="1019" spans="1:11">
      <c r="A1019" s="13"/>
      <c r="B1019" s="46" t="s">
        <v>98</v>
      </c>
      <c r="C1019" s="1">
        <v>3</v>
      </c>
      <c r="D1019" s="5">
        <v>0.9</v>
      </c>
      <c r="E1019" s="5">
        <v>0.23</v>
      </c>
      <c r="F1019" s="5">
        <v>2.4500000000000002</v>
      </c>
      <c r="G1019" s="4">
        <f t="shared" si="80"/>
        <v>-1.5214500000000004</v>
      </c>
      <c r="H1019" s="1" t="s">
        <v>10</v>
      </c>
      <c r="J1019" s="31"/>
      <c r="K1019" s="31"/>
    </row>
    <row r="1020" spans="1:11">
      <c r="A1020" s="13"/>
      <c r="B1020" s="46" t="s">
        <v>100</v>
      </c>
      <c r="C1020" s="1">
        <v>9</v>
      </c>
      <c r="D1020" s="5">
        <v>1.8</v>
      </c>
      <c r="E1020" s="5">
        <v>0.23</v>
      </c>
      <c r="F1020" s="5">
        <v>1.5</v>
      </c>
      <c r="G1020" s="4">
        <f t="shared" si="80"/>
        <v>-5.5890000000000004</v>
      </c>
      <c r="H1020" s="1" t="s">
        <v>10</v>
      </c>
      <c r="J1020" s="31"/>
      <c r="K1020" s="31"/>
    </row>
    <row r="1021" spans="1:11">
      <c r="A1021" s="13"/>
      <c r="B1021" s="46" t="s">
        <v>457</v>
      </c>
      <c r="C1021" s="1">
        <v>2</v>
      </c>
      <c r="D1021" s="5">
        <v>0.6</v>
      </c>
      <c r="E1021" s="5">
        <v>0.23</v>
      </c>
      <c r="F1021" s="5">
        <v>1.5</v>
      </c>
      <c r="G1021" s="4">
        <f t="shared" si="80"/>
        <v>-0.41400000000000003</v>
      </c>
      <c r="H1021" s="1" t="s">
        <v>10</v>
      </c>
      <c r="J1021" s="31"/>
      <c r="K1021" s="31"/>
    </row>
    <row r="1022" spans="1:11">
      <c r="A1022" s="13"/>
      <c r="B1022" s="46" t="s">
        <v>447</v>
      </c>
      <c r="C1022" s="1">
        <v>2</v>
      </c>
      <c r="D1022" s="5">
        <v>0.45</v>
      </c>
      <c r="E1022" s="5">
        <v>0.23</v>
      </c>
      <c r="F1022" s="5">
        <v>2.4500000000000002</v>
      </c>
      <c r="G1022" s="4">
        <f t="shared" si="80"/>
        <v>-0.5071500000000001</v>
      </c>
      <c r="H1022" s="1" t="s">
        <v>10</v>
      </c>
      <c r="J1022" s="31"/>
      <c r="K1022" s="31"/>
    </row>
    <row r="1023" spans="1:11">
      <c r="A1023" s="13"/>
      <c r="B1023" s="46" t="s">
        <v>103</v>
      </c>
      <c r="C1023" s="1">
        <v>11</v>
      </c>
      <c r="D1023" s="5">
        <v>1.8</v>
      </c>
      <c r="E1023" s="5">
        <v>0.23</v>
      </c>
      <c r="F1023" s="5">
        <v>0.75</v>
      </c>
      <c r="G1023" s="4">
        <f t="shared" si="80"/>
        <v>-3.4155000000000002</v>
      </c>
      <c r="H1023" s="1" t="s">
        <v>10</v>
      </c>
      <c r="J1023" s="31"/>
      <c r="K1023" s="31"/>
    </row>
    <row r="1024" spans="1:11">
      <c r="A1024" s="13"/>
      <c r="B1024" s="46" t="s">
        <v>104</v>
      </c>
      <c r="C1024" s="1">
        <v>2</v>
      </c>
      <c r="D1024" s="5">
        <v>1.5</v>
      </c>
      <c r="E1024" s="5">
        <v>0.23</v>
      </c>
      <c r="F1024" s="5">
        <v>0.75</v>
      </c>
      <c r="G1024" s="4">
        <f t="shared" si="80"/>
        <v>-0.51750000000000007</v>
      </c>
      <c r="H1024" s="1" t="s">
        <v>10</v>
      </c>
      <c r="J1024" s="31"/>
      <c r="K1024" s="31"/>
    </row>
    <row r="1025" spans="1:13">
      <c r="A1025" s="13"/>
      <c r="B1025" s="46" t="s">
        <v>105</v>
      </c>
      <c r="C1025" s="1">
        <v>2</v>
      </c>
      <c r="D1025" s="5">
        <v>1.2</v>
      </c>
      <c r="E1025" s="5">
        <v>0.23</v>
      </c>
      <c r="F1025" s="5">
        <v>0.75</v>
      </c>
      <c r="G1025" s="4">
        <f t="shared" si="80"/>
        <v>-0.41400000000000003</v>
      </c>
      <c r="H1025" s="1" t="s">
        <v>10</v>
      </c>
      <c r="J1025" s="31"/>
      <c r="K1025" s="31"/>
    </row>
    <row r="1026" spans="1:13">
      <c r="A1026" s="13"/>
      <c r="B1026" s="46" t="s">
        <v>444</v>
      </c>
      <c r="C1026" s="1">
        <v>1</v>
      </c>
      <c r="D1026" s="5">
        <v>1.2</v>
      </c>
      <c r="E1026" s="5">
        <v>0.23</v>
      </c>
      <c r="F1026" s="5">
        <v>0.6</v>
      </c>
      <c r="G1026" s="4">
        <f t="shared" si="80"/>
        <v>-0.1656</v>
      </c>
      <c r="H1026" s="1" t="s">
        <v>10</v>
      </c>
      <c r="J1026" s="31"/>
      <c r="K1026" s="31"/>
    </row>
    <row r="1027" spans="1:13">
      <c r="A1027" s="13"/>
      <c r="B1027" s="46" t="s">
        <v>108</v>
      </c>
      <c r="C1027" s="1">
        <v>5</v>
      </c>
      <c r="D1027" s="5">
        <v>0.6</v>
      </c>
      <c r="E1027" s="5">
        <v>0.23</v>
      </c>
      <c r="F1027" s="83">
        <v>0.6</v>
      </c>
      <c r="G1027" s="4">
        <f t="shared" si="80"/>
        <v>-0.41400000000000003</v>
      </c>
      <c r="H1027" s="1" t="s">
        <v>10</v>
      </c>
      <c r="J1027" s="31"/>
      <c r="K1027" s="31"/>
    </row>
    <row r="1028" spans="1:13">
      <c r="A1028" s="13"/>
      <c r="B1028" s="46" t="s">
        <v>458</v>
      </c>
      <c r="C1028" s="1">
        <v>2</v>
      </c>
      <c r="D1028" s="5">
        <f>1.8+0.3</f>
        <v>2.1</v>
      </c>
      <c r="E1028" s="5">
        <v>0.23</v>
      </c>
      <c r="F1028" s="57">
        <v>2.4500000000000002</v>
      </c>
      <c r="G1028" s="4">
        <f t="shared" si="80"/>
        <v>-2.3667000000000002</v>
      </c>
      <c r="H1028" s="1" t="s">
        <v>10</v>
      </c>
      <c r="J1028" s="31"/>
      <c r="K1028" s="31"/>
    </row>
    <row r="1029" spans="1:13">
      <c r="A1029" s="13"/>
      <c r="B1029" s="46"/>
      <c r="C1029" s="1"/>
      <c r="D1029" s="5"/>
      <c r="E1029" s="5"/>
      <c r="F1029" s="5"/>
      <c r="G1029" s="4"/>
      <c r="H1029" s="1"/>
      <c r="J1029" s="31"/>
      <c r="K1029" s="31"/>
    </row>
    <row r="1030" spans="1:13">
      <c r="A1030" s="13"/>
      <c r="B1030" s="9"/>
      <c r="C1030" s="1"/>
      <c r="D1030" s="1"/>
      <c r="E1030" s="5"/>
      <c r="F1030" s="34" t="s">
        <v>11</v>
      </c>
      <c r="G1030" s="53">
        <f>SUM(G953:G1029)</f>
        <v>453.37002000000001</v>
      </c>
      <c r="H1030" s="50" t="s">
        <v>12</v>
      </c>
      <c r="J1030" s="31"/>
      <c r="K1030" s="31"/>
    </row>
    <row r="1031" spans="1:13">
      <c r="A1031" s="13"/>
      <c r="B1031" s="9"/>
      <c r="C1031" s="1"/>
      <c r="D1031" s="1"/>
      <c r="E1031" s="5"/>
      <c r="F1031" s="56" t="s">
        <v>13</v>
      </c>
      <c r="G1031" s="27">
        <f>ROUNDUP(G1030,0)</f>
        <v>454</v>
      </c>
      <c r="H1031" s="28" t="s">
        <v>9</v>
      </c>
      <c r="J1031" s="31"/>
      <c r="K1031" s="31"/>
    </row>
    <row r="1032" spans="1:13">
      <c r="A1032" s="13"/>
      <c r="B1032" s="9"/>
      <c r="C1032" s="1"/>
      <c r="D1032" s="1"/>
      <c r="E1032" s="5"/>
      <c r="F1032" s="1"/>
      <c r="G1032" s="33"/>
      <c r="H1032" s="24"/>
      <c r="J1032" s="31"/>
      <c r="K1032" s="31"/>
    </row>
    <row r="1033" spans="1:13">
      <c r="A1033" s="13"/>
      <c r="B1033" s="9"/>
      <c r="C1033" s="1"/>
      <c r="D1033" s="1"/>
      <c r="E1033" s="5"/>
      <c r="F1033" s="1"/>
      <c r="G1033" s="33"/>
      <c r="H1033" s="24"/>
      <c r="J1033" s="31"/>
      <c r="K1033" s="31"/>
    </row>
    <row r="1034" spans="1:13">
      <c r="A1034" s="13"/>
      <c r="B1034" s="15" t="s">
        <v>445</v>
      </c>
      <c r="C1034" s="31"/>
      <c r="D1034" s="31"/>
      <c r="E1034" s="31"/>
      <c r="F1034" s="31"/>
      <c r="H1034" s="31"/>
      <c r="J1034" s="31"/>
      <c r="K1034" s="31"/>
    </row>
    <row r="1035" spans="1:13">
      <c r="A1035" s="13"/>
      <c r="B1035" s="46" t="s">
        <v>425</v>
      </c>
      <c r="C1035" s="1">
        <v>2</v>
      </c>
      <c r="D1035" s="5">
        <v>5.2</v>
      </c>
      <c r="E1035" s="5">
        <v>0.23</v>
      </c>
      <c r="F1035" s="5">
        <v>3.4</v>
      </c>
      <c r="G1035" s="4">
        <f>C1035*D1035*E1035*F1035</f>
        <v>8.1328000000000014</v>
      </c>
      <c r="H1035" s="1" t="s">
        <v>9</v>
      </c>
      <c r="J1035" s="31"/>
      <c r="K1035" s="31"/>
    </row>
    <row r="1036" spans="1:13">
      <c r="A1036" s="13"/>
      <c r="B1036" s="46" t="s">
        <v>426</v>
      </c>
      <c r="C1036" s="1">
        <v>3</v>
      </c>
      <c r="D1036" s="5">
        <v>5.2</v>
      </c>
      <c r="E1036" s="5">
        <v>0.23</v>
      </c>
      <c r="F1036" s="5">
        <v>3.4</v>
      </c>
      <c r="G1036" s="4">
        <f t="shared" ref="G1036:G1058" si="81">C1036*D1036*E1036*F1036</f>
        <v>12.199200000000001</v>
      </c>
      <c r="H1036" s="1" t="s">
        <v>10</v>
      </c>
      <c r="J1036" s="31"/>
      <c r="K1036" s="31"/>
    </row>
    <row r="1037" spans="1:13">
      <c r="A1037" s="13"/>
      <c r="B1037" s="46" t="s">
        <v>427</v>
      </c>
      <c r="C1037" s="1">
        <v>3</v>
      </c>
      <c r="D1037" s="5">
        <v>5.2</v>
      </c>
      <c r="E1037" s="5">
        <v>0.23</v>
      </c>
      <c r="F1037" s="5">
        <v>3.4</v>
      </c>
      <c r="G1037" s="4">
        <f t="shared" si="81"/>
        <v>12.199200000000001</v>
      </c>
      <c r="H1037" s="1" t="s">
        <v>10</v>
      </c>
      <c r="J1037" s="31"/>
      <c r="K1037" s="31"/>
    </row>
    <row r="1038" spans="1:13">
      <c r="A1038" s="13"/>
      <c r="B1038" s="46" t="s">
        <v>428</v>
      </c>
      <c r="C1038" s="1">
        <v>3</v>
      </c>
      <c r="D1038" s="5">
        <v>3</v>
      </c>
      <c r="E1038" s="5">
        <v>0.23</v>
      </c>
      <c r="F1038" s="5">
        <v>3.4</v>
      </c>
      <c r="G1038" s="4">
        <f t="shared" si="81"/>
        <v>7.0380000000000011</v>
      </c>
      <c r="H1038" s="1" t="s">
        <v>10</v>
      </c>
      <c r="I1038" s="15"/>
      <c r="J1038" s="46"/>
      <c r="K1038" s="2"/>
      <c r="L1038" s="2"/>
      <c r="M1038" s="2"/>
    </row>
    <row r="1039" spans="1:13">
      <c r="A1039" s="13"/>
      <c r="B1039" s="46" t="s">
        <v>429</v>
      </c>
      <c r="C1039" s="1">
        <v>2</v>
      </c>
      <c r="D1039" s="5">
        <v>2.2000000000000002</v>
      </c>
      <c r="E1039" s="5">
        <v>0.23</v>
      </c>
      <c r="F1039" s="5">
        <v>3.4</v>
      </c>
      <c r="G1039" s="4">
        <f t="shared" si="81"/>
        <v>3.4408000000000007</v>
      </c>
      <c r="H1039" s="1" t="s">
        <v>10</v>
      </c>
      <c r="J1039" s="1"/>
      <c r="K1039" s="5"/>
      <c r="L1039" s="5"/>
      <c r="M1039" s="5"/>
    </row>
    <row r="1040" spans="1:13">
      <c r="A1040" s="13"/>
      <c r="B1040" s="46" t="s">
        <v>430</v>
      </c>
      <c r="C1040" s="1">
        <v>2</v>
      </c>
      <c r="D1040" s="5">
        <v>5.2</v>
      </c>
      <c r="E1040" s="5">
        <v>0.23</v>
      </c>
      <c r="F1040" s="5">
        <v>3.4</v>
      </c>
      <c r="G1040" s="4">
        <f t="shared" si="81"/>
        <v>8.1328000000000014</v>
      </c>
      <c r="H1040" s="1" t="s">
        <v>10</v>
      </c>
      <c r="J1040" s="1"/>
      <c r="K1040" s="5"/>
      <c r="L1040" s="5"/>
      <c r="M1040" s="5"/>
    </row>
    <row r="1041" spans="1:13">
      <c r="A1041" s="13"/>
      <c r="B1041" s="46" t="s">
        <v>431</v>
      </c>
      <c r="C1041" s="1">
        <v>4</v>
      </c>
      <c r="D1041" s="5">
        <v>2.5</v>
      </c>
      <c r="E1041" s="5">
        <v>0.23</v>
      </c>
      <c r="F1041" s="5">
        <v>3.4</v>
      </c>
      <c r="G1041" s="4">
        <f t="shared" si="81"/>
        <v>7.82</v>
      </c>
      <c r="H1041" s="1" t="s">
        <v>10</v>
      </c>
      <c r="J1041" s="1"/>
      <c r="K1041" s="5"/>
      <c r="L1041" s="5"/>
      <c r="M1041" s="5"/>
    </row>
    <row r="1042" spans="1:13">
      <c r="A1042" s="13"/>
      <c r="B1042" s="46" t="s">
        <v>432</v>
      </c>
      <c r="C1042" s="1">
        <v>4</v>
      </c>
      <c r="D1042" s="5">
        <v>2.5</v>
      </c>
      <c r="E1042" s="5">
        <v>0.23</v>
      </c>
      <c r="F1042" s="5">
        <v>3.4</v>
      </c>
      <c r="G1042" s="4">
        <f t="shared" si="81"/>
        <v>7.82</v>
      </c>
      <c r="H1042" s="1" t="s">
        <v>10</v>
      </c>
      <c r="J1042" s="1"/>
      <c r="K1042" s="5"/>
      <c r="L1042" s="5"/>
      <c r="M1042" s="5"/>
    </row>
    <row r="1043" spans="1:13">
      <c r="A1043" s="13"/>
      <c r="B1043" s="46" t="s">
        <v>433</v>
      </c>
      <c r="C1043" s="1">
        <v>3</v>
      </c>
      <c r="D1043" s="5">
        <v>5</v>
      </c>
      <c r="E1043" s="5">
        <v>0.23</v>
      </c>
      <c r="F1043" s="5">
        <v>3.4</v>
      </c>
      <c r="G1043" s="4">
        <f t="shared" si="81"/>
        <v>11.73</v>
      </c>
      <c r="H1043" s="1" t="s">
        <v>10</v>
      </c>
      <c r="J1043" s="1"/>
      <c r="K1043" s="5"/>
      <c r="L1043" s="5"/>
      <c r="M1043" s="5"/>
    </row>
    <row r="1044" spans="1:13">
      <c r="A1044" s="13"/>
      <c r="B1044" s="46" t="s">
        <v>434</v>
      </c>
      <c r="C1044" s="1">
        <v>4</v>
      </c>
      <c r="D1044" s="5">
        <v>5</v>
      </c>
      <c r="E1044" s="5">
        <v>0.23</v>
      </c>
      <c r="F1044" s="5">
        <v>3.4</v>
      </c>
      <c r="G1044" s="4">
        <f t="shared" si="81"/>
        <v>15.64</v>
      </c>
      <c r="H1044" s="1" t="s">
        <v>10</v>
      </c>
      <c r="J1044" s="1"/>
      <c r="K1044" s="5"/>
      <c r="L1044" s="5"/>
      <c r="M1044" s="5"/>
    </row>
    <row r="1045" spans="1:13">
      <c r="A1045" s="13"/>
      <c r="B1045" s="46" t="s">
        <v>435</v>
      </c>
      <c r="C1045" s="1">
        <v>2</v>
      </c>
      <c r="D1045" s="5">
        <v>0.79</v>
      </c>
      <c r="E1045" s="5">
        <v>0.23</v>
      </c>
      <c r="F1045" s="5">
        <v>3.4</v>
      </c>
      <c r="G1045" s="4">
        <f t="shared" si="81"/>
        <v>1.2355600000000002</v>
      </c>
      <c r="H1045" s="1" t="s">
        <v>10</v>
      </c>
      <c r="J1045" s="46"/>
      <c r="K1045" s="2"/>
      <c r="L1045" s="2"/>
      <c r="M1045" s="100"/>
    </row>
    <row r="1046" spans="1:13">
      <c r="A1046" s="13"/>
      <c r="B1046" s="46" t="s">
        <v>436</v>
      </c>
      <c r="C1046" s="1">
        <v>8</v>
      </c>
      <c r="D1046" s="5">
        <v>1.2</v>
      </c>
      <c r="E1046" s="5">
        <v>0.23</v>
      </c>
      <c r="F1046" s="5">
        <v>3.4</v>
      </c>
      <c r="G1046" s="4">
        <f t="shared" si="81"/>
        <v>7.5072000000000001</v>
      </c>
      <c r="H1046" s="1" t="s">
        <v>10</v>
      </c>
      <c r="J1046" s="46"/>
      <c r="K1046" s="2"/>
      <c r="L1046" s="2"/>
      <c r="M1046" s="75"/>
    </row>
    <row r="1047" spans="1:13">
      <c r="A1047" s="13"/>
      <c r="B1047" s="46" t="s">
        <v>437</v>
      </c>
      <c r="C1047" s="1">
        <v>4</v>
      </c>
      <c r="D1047" s="5">
        <v>4.5</v>
      </c>
      <c r="E1047" s="5">
        <v>0.23</v>
      </c>
      <c r="F1047" s="5">
        <v>3.4</v>
      </c>
      <c r="G1047" s="4">
        <f t="shared" si="81"/>
        <v>14.076000000000002</v>
      </c>
      <c r="H1047" s="1" t="s">
        <v>10</v>
      </c>
      <c r="J1047" s="57"/>
      <c r="K1047" s="57"/>
      <c r="L1047" s="57"/>
      <c r="M1047" s="57"/>
    </row>
    <row r="1048" spans="1:13">
      <c r="A1048" s="13"/>
      <c r="B1048" s="46" t="s">
        <v>438</v>
      </c>
      <c r="C1048" s="1">
        <v>4</v>
      </c>
      <c r="D1048" s="5">
        <v>4.5</v>
      </c>
      <c r="E1048" s="5">
        <v>0.23</v>
      </c>
      <c r="F1048" s="5">
        <v>3.4</v>
      </c>
      <c r="G1048" s="4">
        <f t="shared" si="81"/>
        <v>14.076000000000002</v>
      </c>
      <c r="H1048" s="1" t="s">
        <v>10</v>
      </c>
    </row>
    <row r="1049" spans="1:13">
      <c r="A1049" s="13"/>
      <c r="B1049" s="46" t="s">
        <v>439</v>
      </c>
      <c r="C1049" s="1">
        <v>3</v>
      </c>
      <c r="D1049" s="5">
        <v>2.5</v>
      </c>
      <c r="E1049" s="5">
        <v>0.23</v>
      </c>
      <c r="F1049" s="5">
        <v>3.4</v>
      </c>
      <c r="G1049" s="4">
        <f t="shared" si="81"/>
        <v>5.8650000000000002</v>
      </c>
      <c r="H1049" s="1" t="s">
        <v>10</v>
      </c>
    </row>
    <row r="1050" spans="1:13">
      <c r="A1050" s="13"/>
      <c r="B1050" s="46" t="s">
        <v>440</v>
      </c>
      <c r="C1050" s="1">
        <v>3</v>
      </c>
      <c r="D1050" s="5">
        <v>2.5</v>
      </c>
      <c r="E1050" s="5">
        <v>0.23</v>
      </c>
      <c r="F1050" s="5">
        <v>3.4</v>
      </c>
      <c r="G1050" s="4">
        <f t="shared" si="81"/>
        <v>5.8650000000000002</v>
      </c>
      <c r="H1050" s="1" t="s">
        <v>10</v>
      </c>
    </row>
    <row r="1051" spans="1:13">
      <c r="A1051" s="13"/>
      <c r="B1051" s="46" t="s">
        <v>441</v>
      </c>
      <c r="C1051" s="1">
        <v>3</v>
      </c>
      <c r="D1051" s="5">
        <v>1.25</v>
      </c>
      <c r="E1051" s="5">
        <v>0.23</v>
      </c>
      <c r="F1051" s="5">
        <v>3.4</v>
      </c>
      <c r="G1051" s="4">
        <f t="shared" si="81"/>
        <v>2.9325000000000001</v>
      </c>
      <c r="H1051" s="1" t="s">
        <v>10</v>
      </c>
    </row>
    <row r="1052" spans="1:13">
      <c r="A1052" s="13"/>
      <c r="B1052" s="46" t="s">
        <v>442</v>
      </c>
      <c r="C1052" s="1">
        <v>5</v>
      </c>
      <c r="D1052" s="5">
        <v>3.75</v>
      </c>
      <c r="E1052" s="5">
        <v>0.23</v>
      </c>
      <c r="F1052" s="5">
        <v>3.4</v>
      </c>
      <c r="G1052" s="4">
        <f t="shared" si="81"/>
        <v>14.6625</v>
      </c>
      <c r="H1052" s="1" t="s">
        <v>10</v>
      </c>
    </row>
    <row r="1053" spans="1:13">
      <c r="A1053" s="13"/>
      <c r="B1053" s="46" t="s">
        <v>93</v>
      </c>
      <c r="C1053" s="1">
        <v>1</v>
      </c>
      <c r="D1053" s="5">
        <f>69+13.2</f>
        <v>82.2</v>
      </c>
      <c r="E1053" s="5">
        <v>0.23</v>
      </c>
      <c r="F1053" s="5">
        <v>0.9</v>
      </c>
      <c r="G1053" s="4">
        <f t="shared" si="81"/>
        <v>17.015400000000003</v>
      </c>
      <c r="H1053" s="1" t="s">
        <v>10</v>
      </c>
    </row>
    <row r="1054" spans="1:13">
      <c r="A1054" s="13"/>
      <c r="B1054" s="46" t="s">
        <v>723</v>
      </c>
      <c r="C1054" s="1">
        <v>1</v>
      </c>
      <c r="D1054" s="5">
        <v>4.3</v>
      </c>
      <c r="E1054" s="5">
        <v>2.85</v>
      </c>
      <c r="F1054" s="5">
        <v>0.3</v>
      </c>
      <c r="G1054" s="4">
        <f t="shared" si="81"/>
        <v>3.6764999999999994</v>
      </c>
      <c r="H1054" s="1" t="s">
        <v>10</v>
      </c>
    </row>
    <row r="1055" spans="1:13">
      <c r="A1055" s="13"/>
      <c r="B1055" s="46"/>
      <c r="C1055" s="1">
        <v>1</v>
      </c>
      <c r="D1055" s="5">
        <v>1.5</v>
      </c>
      <c r="E1055" s="5">
        <v>2.5</v>
      </c>
      <c r="F1055" s="5">
        <v>0.3</v>
      </c>
      <c r="G1055" s="4">
        <f t="shared" si="81"/>
        <v>1.125</v>
      </c>
      <c r="H1055" s="1" t="s">
        <v>10</v>
      </c>
    </row>
    <row r="1056" spans="1:13">
      <c r="A1056" s="13"/>
      <c r="B1056" s="46"/>
      <c r="C1056" s="1">
        <v>1</v>
      </c>
      <c r="D1056" s="5">
        <v>2.5</v>
      </c>
      <c r="E1056" s="5">
        <v>2.5</v>
      </c>
      <c r="F1056" s="5">
        <v>0.3</v>
      </c>
      <c r="G1056" s="4">
        <f t="shared" si="81"/>
        <v>1.875</v>
      </c>
      <c r="H1056" s="1" t="s">
        <v>10</v>
      </c>
    </row>
    <row r="1057" spans="1:11">
      <c r="A1057" s="13"/>
      <c r="B1057" s="46"/>
      <c r="C1057" s="1">
        <v>1</v>
      </c>
      <c r="D1057" s="5">
        <v>4.7</v>
      </c>
      <c r="E1057" s="5">
        <v>4.7</v>
      </c>
      <c r="F1057" s="5">
        <v>0.3</v>
      </c>
      <c r="G1057" s="4">
        <f t="shared" si="81"/>
        <v>6.6270000000000007</v>
      </c>
      <c r="H1057" s="1" t="s">
        <v>10</v>
      </c>
    </row>
    <row r="1058" spans="1:11">
      <c r="A1058" s="13"/>
      <c r="B1058" s="46"/>
      <c r="C1058" s="1">
        <v>1</v>
      </c>
      <c r="D1058" s="5">
        <v>3.62</v>
      </c>
      <c r="E1058" s="5">
        <v>1.35</v>
      </c>
      <c r="F1058" s="5">
        <v>0.3</v>
      </c>
      <c r="G1058" s="4">
        <f t="shared" si="81"/>
        <v>1.4661000000000002</v>
      </c>
      <c r="H1058" s="1" t="s">
        <v>10</v>
      </c>
    </row>
    <row r="1059" spans="1:11">
      <c r="A1059" s="13"/>
      <c r="B1059" s="46" t="s">
        <v>73</v>
      </c>
      <c r="C1059" s="1"/>
      <c r="D1059" s="5"/>
      <c r="E1059" s="5"/>
      <c r="F1059" s="5"/>
      <c r="G1059" s="4"/>
      <c r="H1059" s="1"/>
    </row>
    <row r="1060" spans="1:11">
      <c r="A1060" s="13"/>
      <c r="B1060" s="46" t="s">
        <v>460</v>
      </c>
      <c r="C1060" s="1">
        <v>4</v>
      </c>
      <c r="D1060" s="5">
        <v>1.35</v>
      </c>
      <c r="E1060" s="1">
        <v>0.23</v>
      </c>
      <c r="F1060" s="5">
        <v>2.4500000000000002</v>
      </c>
      <c r="G1060" s="4">
        <f>-C1060*D1060*E1060*F1060</f>
        <v>-3.0429000000000008</v>
      </c>
      <c r="H1060" s="1" t="s">
        <v>10</v>
      </c>
      <c r="J1060" s="31"/>
      <c r="K1060" s="31"/>
    </row>
    <row r="1061" spans="1:11">
      <c r="A1061" s="13"/>
      <c r="B1061" s="46" t="s">
        <v>98</v>
      </c>
      <c r="C1061" s="1">
        <v>1</v>
      </c>
      <c r="D1061" s="5">
        <v>0.9</v>
      </c>
      <c r="E1061" s="1">
        <v>0.23</v>
      </c>
      <c r="F1061" s="5">
        <v>2.4500000000000002</v>
      </c>
      <c r="G1061" s="4">
        <f t="shared" ref="G1061:G1070" si="82">-C1061*D1061*E1061*F1061</f>
        <v>-0.5071500000000001</v>
      </c>
      <c r="H1061" s="1" t="s">
        <v>10</v>
      </c>
      <c r="J1061" s="31"/>
      <c r="K1061" s="31"/>
    </row>
    <row r="1062" spans="1:11">
      <c r="A1062" s="13"/>
      <c r="B1062" s="46" t="s">
        <v>100</v>
      </c>
      <c r="C1062" s="1">
        <v>4</v>
      </c>
      <c r="D1062" s="5">
        <v>1.8</v>
      </c>
      <c r="E1062" s="1">
        <v>0.23</v>
      </c>
      <c r="F1062" s="5">
        <v>1.5</v>
      </c>
      <c r="G1062" s="4">
        <f t="shared" si="82"/>
        <v>-2.484</v>
      </c>
      <c r="H1062" s="1" t="s">
        <v>10</v>
      </c>
      <c r="J1062" s="31"/>
      <c r="K1062" s="31"/>
    </row>
    <row r="1063" spans="1:11">
      <c r="A1063" s="13"/>
      <c r="B1063" s="46" t="s">
        <v>102</v>
      </c>
      <c r="C1063" s="1">
        <v>2</v>
      </c>
      <c r="D1063" s="5">
        <v>1.2</v>
      </c>
      <c r="E1063" s="1">
        <v>0.23</v>
      </c>
      <c r="F1063" s="5">
        <v>1.5</v>
      </c>
      <c r="G1063" s="4">
        <f t="shared" si="82"/>
        <v>-0.82800000000000007</v>
      </c>
      <c r="H1063" s="1" t="s">
        <v>10</v>
      </c>
      <c r="J1063" s="31"/>
      <c r="K1063" s="31"/>
    </row>
    <row r="1064" spans="1:11">
      <c r="A1064" s="13"/>
      <c r="B1064" s="46" t="s">
        <v>446</v>
      </c>
      <c r="C1064" s="1">
        <v>2</v>
      </c>
      <c r="D1064" s="5">
        <v>1.2</v>
      </c>
      <c r="E1064" s="1">
        <v>0.23</v>
      </c>
      <c r="F1064" s="5">
        <v>1.5</v>
      </c>
      <c r="G1064" s="4">
        <f t="shared" si="82"/>
        <v>-0.82800000000000007</v>
      </c>
      <c r="H1064" s="1" t="s">
        <v>10</v>
      </c>
      <c r="J1064" s="31"/>
      <c r="K1064" s="31"/>
    </row>
    <row r="1065" spans="1:11">
      <c r="A1065" s="13"/>
      <c r="B1065" s="46" t="s">
        <v>447</v>
      </c>
      <c r="C1065" s="1">
        <v>2</v>
      </c>
      <c r="D1065" s="5">
        <v>0.45</v>
      </c>
      <c r="E1065" s="1">
        <v>0.23</v>
      </c>
      <c r="F1065" s="5">
        <v>2.4500000000000002</v>
      </c>
      <c r="G1065" s="4">
        <f t="shared" si="82"/>
        <v>-0.5071500000000001</v>
      </c>
      <c r="H1065" s="1" t="s">
        <v>10</v>
      </c>
      <c r="J1065" s="31"/>
      <c r="K1065" s="31"/>
    </row>
    <row r="1066" spans="1:11">
      <c r="A1066" s="13"/>
      <c r="B1066" s="46" t="s">
        <v>103</v>
      </c>
      <c r="C1066" s="1">
        <v>16</v>
      </c>
      <c r="D1066" s="5">
        <v>1.8</v>
      </c>
      <c r="E1066" s="1">
        <v>0.23</v>
      </c>
      <c r="F1066" s="5">
        <v>0.75</v>
      </c>
      <c r="G1066" s="4">
        <f t="shared" si="82"/>
        <v>-4.968</v>
      </c>
      <c r="H1066" s="1" t="s">
        <v>10</v>
      </c>
      <c r="J1066" s="31"/>
      <c r="K1066" s="31"/>
    </row>
    <row r="1067" spans="1:11">
      <c r="A1067" s="13"/>
      <c r="B1067" s="46" t="s">
        <v>448</v>
      </c>
      <c r="C1067" s="1">
        <v>7</v>
      </c>
      <c r="D1067" s="5">
        <v>1.8</v>
      </c>
      <c r="E1067" s="1">
        <v>0.23</v>
      </c>
      <c r="F1067" s="5">
        <v>0.75</v>
      </c>
      <c r="G1067" s="4">
        <f t="shared" si="82"/>
        <v>-2.1735000000000002</v>
      </c>
      <c r="H1067" s="1" t="s">
        <v>10</v>
      </c>
      <c r="J1067" s="31"/>
      <c r="K1067" s="31"/>
    </row>
    <row r="1068" spans="1:11">
      <c r="A1068" s="13"/>
      <c r="B1068" s="46" t="s">
        <v>106</v>
      </c>
      <c r="C1068" s="1">
        <v>3</v>
      </c>
      <c r="D1068" s="5">
        <v>0.9</v>
      </c>
      <c r="E1068" s="1">
        <v>0.23</v>
      </c>
      <c r="F1068" s="5">
        <v>0.6</v>
      </c>
      <c r="G1068" s="4">
        <f t="shared" si="82"/>
        <v>-0.37260000000000004</v>
      </c>
      <c r="H1068" s="1" t="s">
        <v>10</v>
      </c>
      <c r="J1068" s="31"/>
      <c r="K1068" s="31"/>
    </row>
    <row r="1069" spans="1:11">
      <c r="A1069" s="13"/>
      <c r="B1069" s="46" t="s">
        <v>107</v>
      </c>
      <c r="C1069" s="1">
        <v>5</v>
      </c>
      <c r="D1069" s="5">
        <v>0.75</v>
      </c>
      <c r="E1069" s="1">
        <v>0.23</v>
      </c>
      <c r="F1069" s="5">
        <v>0.6</v>
      </c>
      <c r="G1069" s="4">
        <f t="shared" si="82"/>
        <v>-0.51749999999999996</v>
      </c>
      <c r="H1069" s="1" t="s">
        <v>10</v>
      </c>
      <c r="J1069" s="31"/>
      <c r="K1069" s="31"/>
    </row>
    <row r="1070" spans="1:11">
      <c r="A1070" s="13"/>
      <c r="B1070" s="46" t="s">
        <v>108</v>
      </c>
      <c r="C1070" s="1">
        <v>3</v>
      </c>
      <c r="D1070" s="5">
        <v>0.6</v>
      </c>
      <c r="E1070" s="1">
        <v>0.23</v>
      </c>
      <c r="F1070" s="5">
        <v>0.6</v>
      </c>
      <c r="G1070" s="4">
        <f t="shared" si="82"/>
        <v>-0.24839999999999998</v>
      </c>
      <c r="H1070" s="1" t="s">
        <v>10</v>
      </c>
      <c r="J1070" s="31"/>
      <c r="K1070" s="31"/>
    </row>
    <row r="1071" spans="1:11">
      <c r="A1071" s="13"/>
      <c r="B1071" s="46"/>
      <c r="C1071" s="1"/>
      <c r="D1071" s="5"/>
      <c r="E1071" s="5"/>
      <c r="F1071" s="5"/>
      <c r="G1071" s="4"/>
      <c r="H1071" s="1"/>
      <c r="J1071" s="31"/>
      <c r="K1071" s="31"/>
    </row>
    <row r="1072" spans="1:11">
      <c r="A1072" s="13"/>
      <c r="B1072" s="9"/>
      <c r="C1072" s="1"/>
      <c r="D1072" s="1"/>
      <c r="E1072" s="5"/>
      <c r="F1072" s="34" t="s">
        <v>11</v>
      </c>
      <c r="G1072" s="53">
        <f>SUM(G1034:G1071)</f>
        <v>175.68036000000006</v>
      </c>
      <c r="H1072" s="50" t="s">
        <v>12</v>
      </c>
      <c r="J1072" s="31"/>
      <c r="K1072" s="31"/>
    </row>
    <row r="1073" spans="1:11">
      <c r="A1073" s="13"/>
      <c r="B1073" s="9"/>
      <c r="C1073" s="1"/>
      <c r="D1073" s="1"/>
      <c r="E1073" s="5"/>
      <c r="F1073" s="56" t="s">
        <v>13</v>
      </c>
      <c r="G1073" s="27">
        <f>ROUNDUP(G1072,0)</f>
        <v>176</v>
      </c>
      <c r="H1073" s="28" t="s">
        <v>9</v>
      </c>
      <c r="J1073" s="31"/>
      <c r="K1073" s="31"/>
    </row>
    <row r="1074" spans="1:11">
      <c r="A1074" s="13"/>
      <c r="B1074" s="9"/>
      <c r="C1074" s="1"/>
      <c r="D1074" s="1"/>
      <c r="E1074" s="5"/>
      <c r="F1074" s="1"/>
      <c r="G1074" s="33"/>
      <c r="H1074" s="24"/>
      <c r="J1074" s="31"/>
      <c r="K1074" s="31"/>
    </row>
    <row r="1075" spans="1:11">
      <c r="A1075" s="13"/>
      <c r="B1075" s="15" t="s">
        <v>57</v>
      </c>
      <c r="C1075" s="31"/>
      <c r="D1075" s="31"/>
      <c r="E1075" s="31"/>
      <c r="F1075" s="31"/>
      <c r="H1075" s="31"/>
      <c r="J1075" s="31"/>
      <c r="K1075" s="31"/>
    </row>
    <row r="1076" spans="1:11">
      <c r="A1076" s="13"/>
      <c r="B1076" s="46" t="s">
        <v>431</v>
      </c>
      <c r="C1076" s="1">
        <v>2</v>
      </c>
      <c r="D1076" s="5">
        <v>2.5</v>
      </c>
      <c r="E1076" s="5">
        <v>0.23</v>
      </c>
      <c r="F1076" s="5">
        <v>2.9</v>
      </c>
      <c r="G1076" s="4">
        <f>C1076*D1076*E1076*F1076</f>
        <v>3.3350000000000004</v>
      </c>
      <c r="H1076" s="1" t="s">
        <v>9</v>
      </c>
      <c r="J1076" s="31"/>
      <c r="K1076" s="31"/>
    </row>
    <row r="1077" spans="1:11">
      <c r="A1077" s="13"/>
      <c r="B1077" s="46" t="s">
        <v>432</v>
      </c>
      <c r="C1077" s="1">
        <v>2</v>
      </c>
      <c r="D1077" s="5">
        <v>2.5</v>
      </c>
      <c r="E1077" s="5">
        <v>0.23</v>
      </c>
      <c r="F1077" s="5">
        <v>2.9</v>
      </c>
      <c r="G1077" s="4">
        <f t="shared" ref="G1077:G1087" si="83">C1077*D1077*E1077*F1077</f>
        <v>3.3350000000000004</v>
      </c>
      <c r="H1077" s="1" t="s">
        <v>10</v>
      </c>
      <c r="J1077" s="31"/>
      <c r="K1077" s="31"/>
    </row>
    <row r="1078" spans="1:11">
      <c r="A1078" s="13"/>
      <c r="B1078" s="46" t="s">
        <v>433</v>
      </c>
      <c r="C1078" s="1">
        <v>4</v>
      </c>
      <c r="D1078" s="5">
        <v>5</v>
      </c>
      <c r="E1078" s="5">
        <v>0.23</v>
      </c>
      <c r="F1078" s="5">
        <v>2.9</v>
      </c>
      <c r="G1078" s="4">
        <f t="shared" si="83"/>
        <v>13.340000000000002</v>
      </c>
      <c r="H1078" s="1" t="s">
        <v>10</v>
      </c>
      <c r="J1078" s="31"/>
      <c r="K1078" s="31"/>
    </row>
    <row r="1079" spans="1:11">
      <c r="A1079" s="13"/>
      <c r="B1079" s="46" t="s">
        <v>434</v>
      </c>
      <c r="C1079" s="1">
        <v>4</v>
      </c>
      <c r="D1079" s="5">
        <v>5</v>
      </c>
      <c r="E1079" s="5">
        <v>0.23</v>
      </c>
      <c r="F1079" s="5">
        <v>2.9</v>
      </c>
      <c r="G1079" s="4">
        <f t="shared" si="83"/>
        <v>13.340000000000002</v>
      </c>
      <c r="H1079" s="1" t="s">
        <v>10</v>
      </c>
      <c r="J1079" s="31"/>
      <c r="K1079" s="31"/>
    </row>
    <row r="1080" spans="1:11">
      <c r="A1080" s="13"/>
      <c r="B1080" s="46" t="s">
        <v>436</v>
      </c>
      <c r="C1080" s="1">
        <v>2</v>
      </c>
      <c r="D1080" s="5">
        <v>1.2</v>
      </c>
      <c r="E1080" s="5">
        <v>0.23</v>
      </c>
      <c r="F1080" s="5">
        <v>2.9</v>
      </c>
      <c r="G1080" s="4">
        <f t="shared" si="83"/>
        <v>1.6008</v>
      </c>
      <c r="H1080" s="1" t="s">
        <v>10</v>
      </c>
      <c r="J1080" s="31"/>
      <c r="K1080" s="31"/>
    </row>
    <row r="1081" spans="1:11">
      <c r="A1081" s="13"/>
      <c r="B1081" s="46" t="s">
        <v>437</v>
      </c>
      <c r="C1081" s="1">
        <v>2</v>
      </c>
      <c r="D1081" s="5">
        <v>4.5</v>
      </c>
      <c r="E1081" s="5">
        <v>0.23</v>
      </c>
      <c r="F1081" s="5">
        <v>2.9</v>
      </c>
      <c r="G1081" s="4">
        <f t="shared" si="83"/>
        <v>6.003000000000001</v>
      </c>
      <c r="H1081" s="1" t="s">
        <v>10</v>
      </c>
      <c r="J1081" s="31"/>
      <c r="K1081" s="31"/>
    </row>
    <row r="1082" spans="1:11">
      <c r="A1082" s="13"/>
      <c r="B1082" s="46" t="s">
        <v>438</v>
      </c>
      <c r="C1082" s="1">
        <v>3</v>
      </c>
      <c r="D1082" s="5">
        <v>4.5</v>
      </c>
      <c r="E1082" s="5">
        <v>0.23</v>
      </c>
      <c r="F1082" s="5">
        <v>2.9</v>
      </c>
      <c r="G1082" s="4">
        <f t="shared" si="83"/>
        <v>9.0045000000000002</v>
      </c>
      <c r="H1082" s="1" t="s">
        <v>10</v>
      </c>
      <c r="J1082" s="31"/>
      <c r="K1082" s="31"/>
    </row>
    <row r="1083" spans="1:11">
      <c r="A1083" s="13"/>
      <c r="B1083" s="46" t="s">
        <v>439</v>
      </c>
      <c r="C1083" s="1">
        <v>3</v>
      </c>
      <c r="D1083" s="5">
        <v>2.5</v>
      </c>
      <c r="E1083" s="5">
        <v>0.23</v>
      </c>
      <c r="F1083" s="5">
        <v>2.9</v>
      </c>
      <c r="G1083" s="4">
        <f t="shared" si="83"/>
        <v>5.0025000000000004</v>
      </c>
      <c r="H1083" s="1" t="s">
        <v>10</v>
      </c>
      <c r="J1083" s="31"/>
      <c r="K1083" s="31"/>
    </row>
    <row r="1084" spans="1:11">
      <c r="A1084" s="13"/>
      <c r="B1084" s="46" t="s">
        <v>440</v>
      </c>
      <c r="C1084" s="1">
        <v>3</v>
      </c>
      <c r="D1084" s="5">
        <v>2.5</v>
      </c>
      <c r="E1084" s="5">
        <v>0.23</v>
      </c>
      <c r="F1084" s="5">
        <v>2.9</v>
      </c>
      <c r="G1084" s="4">
        <f t="shared" si="83"/>
        <v>5.0025000000000004</v>
      </c>
      <c r="H1084" s="1" t="s">
        <v>10</v>
      </c>
      <c r="J1084" s="31"/>
      <c r="K1084" s="31"/>
    </row>
    <row r="1085" spans="1:11">
      <c r="A1085" s="13"/>
      <c r="B1085" s="46" t="s">
        <v>441</v>
      </c>
      <c r="C1085" s="1">
        <v>3</v>
      </c>
      <c r="D1085" s="5">
        <v>1.25</v>
      </c>
      <c r="E1085" s="5">
        <v>0.23</v>
      </c>
      <c r="F1085" s="5">
        <v>2.9</v>
      </c>
      <c r="G1085" s="4">
        <f t="shared" si="83"/>
        <v>2.5012500000000002</v>
      </c>
      <c r="H1085" s="1" t="s">
        <v>10</v>
      </c>
      <c r="J1085" s="31"/>
      <c r="K1085" s="31"/>
    </row>
    <row r="1086" spans="1:11">
      <c r="A1086" s="13"/>
      <c r="B1086" s="46" t="s">
        <v>442</v>
      </c>
      <c r="C1086" s="1">
        <v>4</v>
      </c>
      <c r="D1086" s="5">
        <v>3.75</v>
      </c>
      <c r="E1086" s="5">
        <v>0.23</v>
      </c>
      <c r="F1086" s="5">
        <v>2.9</v>
      </c>
      <c r="G1086" s="4">
        <f t="shared" si="83"/>
        <v>10.005000000000001</v>
      </c>
      <c r="H1086" s="1" t="s">
        <v>10</v>
      </c>
      <c r="J1086" s="31"/>
      <c r="K1086" s="31"/>
    </row>
    <row r="1087" spans="1:11">
      <c r="A1087" s="13"/>
      <c r="B1087" s="46" t="s">
        <v>93</v>
      </c>
      <c r="C1087" s="1">
        <v>1</v>
      </c>
      <c r="D1087" s="5">
        <f>59+20</f>
        <v>79</v>
      </c>
      <c r="E1087" s="5">
        <v>0.23</v>
      </c>
      <c r="F1087" s="5">
        <v>0.9</v>
      </c>
      <c r="G1087" s="4">
        <f t="shared" si="83"/>
        <v>16.353000000000002</v>
      </c>
      <c r="H1087" s="1" t="s">
        <v>10</v>
      </c>
      <c r="J1087" s="31"/>
      <c r="K1087" s="31"/>
    </row>
    <row r="1088" spans="1:11">
      <c r="A1088" s="13"/>
      <c r="B1088" s="46" t="s">
        <v>462</v>
      </c>
      <c r="C1088" s="1">
        <v>1</v>
      </c>
      <c r="D1088" s="5">
        <f>(6.55+3.36)*2</f>
        <v>19.82</v>
      </c>
      <c r="E1088" s="5">
        <v>0.23</v>
      </c>
      <c r="F1088" s="5">
        <v>2.2999999999999998</v>
      </c>
      <c r="G1088" s="4">
        <f>C1088*D1088*E1088*F1088</f>
        <v>10.484779999999999</v>
      </c>
      <c r="H1088" s="1" t="s">
        <v>10</v>
      </c>
      <c r="J1088" s="31"/>
      <c r="K1088" s="31"/>
    </row>
    <row r="1089" spans="1:13">
      <c r="A1089" s="13"/>
      <c r="B1089" s="46" t="s">
        <v>723</v>
      </c>
      <c r="C1089" s="1">
        <v>1</v>
      </c>
      <c r="D1089" s="5">
        <v>10.305</v>
      </c>
      <c r="E1089" s="5">
        <v>4.7699999999999996</v>
      </c>
      <c r="F1089" s="5">
        <v>0.3</v>
      </c>
      <c r="G1089" s="4">
        <f t="shared" ref="G1089:G1091" si="84">C1089*D1089*E1089*F1089</f>
        <v>14.746454999999997</v>
      </c>
      <c r="H1089" s="1"/>
      <c r="J1089" s="31"/>
      <c r="K1089" s="31"/>
    </row>
    <row r="1090" spans="1:13">
      <c r="A1090" s="13"/>
      <c r="B1090" s="46"/>
      <c r="C1090" s="1">
        <v>1</v>
      </c>
      <c r="D1090" s="5">
        <v>2.5</v>
      </c>
      <c r="E1090" s="5">
        <v>2.5</v>
      </c>
      <c r="F1090" s="5">
        <v>0.3</v>
      </c>
      <c r="G1090" s="4">
        <f t="shared" si="84"/>
        <v>1.875</v>
      </c>
      <c r="H1090" s="1"/>
      <c r="J1090" s="31"/>
      <c r="K1090" s="31"/>
    </row>
    <row r="1091" spans="1:13">
      <c r="A1091" s="13"/>
      <c r="B1091" s="46"/>
      <c r="C1091" s="1">
        <v>1</v>
      </c>
      <c r="D1091" s="5">
        <v>1.5</v>
      </c>
      <c r="E1091" s="5">
        <v>2.5</v>
      </c>
      <c r="F1091" s="5">
        <v>0.3</v>
      </c>
      <c r="G1091" s="4">
        <f t="shared" si="84"/>
        <v>1.125</v>
      </c>
      <c r="H1091" s="1"/>
      <c r="J1091" s="31"/>
      <c r="K1091" s="31"/>
    </row>
    <row r="1092" spans="1:13">
      <c r="A1092" s="13"/>
      <c r="B1092" s="46" t="s">
        <v>73</v>
      </c>
      <c r="C1092" s="1"/>
      <c r="D1092" s="5"/>
      <c r="E1092" s="5"/>
      <c r="F1092" s="5"/>
      <c r="G1092" s="4"/>
      <c r="H1092" s="1"/>
      <c r="I1092" s="15"/>
      <c r="J1092" s="57"/>
      <c r="K1092" s="57"/>
      <c r="L1092" s="57"/>
      <c r="M1092" s="57"/>
    </row>
    <row r="1093" spans="1:13">
      <c r="A1093" s="13"/>
      <c r="B1093" s="46" t="s">
        <v>460</v>
      </c>
      <c r="C1093" s="1">
        <v>5</v>
      </c>
      <c r="D1093" s="5">
        <v>1.35</v>
      </c>
      <c r="E1093" s="1">
        <v>0.23</v>
      </c>
      <c r="F1093" s="5">
        <v>2.4500000000000002</v>
      </c>
      <c r="G1093" s="4">
        <f>-C1093*D1093*E1093*F1093</f>
        <v>-3.8036250000000003</v>
      </c>
      <c r="H1093" s="1" t="s">
        <v>10</v>
      </c>
    </row>
    <row r="1094" spans="1:13">
      <c r="A1094" s="13"/>
      <c r="B1094" s="46" t="s">
        <v>97</v>
      </c>
      <c r="C1094" s="1">
        <v>2</v>
      </c>
      <c r="D1094" s="5">
        <v>1.05</v>
      </c>
      <c r="E1094" s="1">
        <v>0.23</v>
      </c>
      <c r="F1094" s="5">
        <v>2.4500000000000002</v>
      </c>
      <c r="G1094" s="4">
        <f>-C1094*D1094*E1094*F1094</f>
        <v>-1.1833500000000001</v>
      </c>
      <c r="H1094" s="1" t="s">
        <v>10</v>
      </c>
    </row>
    <row r="1095" spans="1:13">
      <c r="A1095" s="13"/>
      <c r="B1095" s="46" t="s">
        <v>100</v>
      </c>
      <c r="C1095" s="1">
        <v>6</v>
      </c>
      <c r="D1095" s="5">
        <v>1.8</v>
      </c>
      <c r="E1095" s="1">
        <v>0.23</v>
      </c>
      <c r="F1095" s="5">
        <v>1.5</v>
      </c>
      <c r="G1095" s="4">
        <f>-C1095*D1095*E1095*F1095</f>
        <v>-3.7260000000000009</v>
      </c>
      <c r="H1095" s="1" t="s">
        <v>10</v>
      </c>
    </row>
    <row r="1096" spans="1:13">
      <c r="A1096" s="13"/>
      <c r="B1096" s="46" t="s">
        <v>107</v>
      </c>
      <c r="C1096" s="1">
        <v>7</v>
      </c>
      <c r="D1096" s="5">
        <v>0.6</v>
      </c>
      <c r="E1096" s="1">
        <v>0.23</v>
      </c>
      <c r="F1096" s="5">
        <v>1.5</v>
      </c>
      <c r="G1096" s="4">
        <f>-C1096*D1096*E1096*F1096</f>
        <v>-1.4490000000000001</v>
      </c>
      <c r="H1096" s="1" t="s">
        <v>10</v>
      </c>
      <c r="J1096" s="1"/>
      <c r="K1096" s="5"/>
      <c r="L1096" s="5"/>
      <c r="M1096" s="5"/>
    </row>
    <row r="1097" spans="1:13">
      <c r="A1097" s="13"/>
      <c r="B1097" s="46" t="s">
        <v>108</v>
      </c>
      <c r="C1097" s="1">
        <v>4</v>
      </c>
      <c r="D1097" s="5">
        <v>0.6</v>
      </c>
      <c r="E1097" s="1">
        <v>0.23</v>
      </c>
      <c r="F1097" s="5">
        <v>0.6</v>
      </c>
      <c r="G1097" s="4">
        <f>-C1097*D1097*E1097*F1097</f>
        <v>-0.33119999999999999</v>
      </c>
      <c r="H1097" s="1" t="s">
        <v>10</v>
      </c>
      <c r="J1097" s="46"/>
      <c r="K1097" s="2"/>
      <c r="L1097" s="2"/>
      <c r="M1097" s="100"/>
    </row>
    <row r="1098" spans="1:13">
      <c r="A1098" s="13"/>
      <c r="B1098" s="46"/>
      <c r="C1098" s="1"/>
      <c r="D1098" s="5"/>
      <c r="E1098" s="5"/>
      <c r="F1098" s="5"/>
      <c r="G1098" s="4"/>
      <c r="H1098" s="1"/>
      <c r="J1098" s="46"/>
      <c r="K1098" s="2"/>
      <c r="L1098" s="2"/>
      <c r="M1098" s="75"/>
    </row>
    <row r="1099" spans="1:13">
      <c r="A1099" s="13"/>
      <c r="B1099" s="9"/>
      <c r="C1099" s="1"/>
      <c r="D1099" s="1"/>
      <c r="E1099" s="5"/>
      <c r="F1099" s="34" t="s">
        <v>11</v>
      </c>
      <c r="G1099" s="53">
        <f>SUM(G1076:G1098)</f>
        <v>106.56061000000001</v>
      </c>
      <c r="H1099" s="50" t="s">
        <v>12</v>
      </c>
      <c r="J1099" s="31"/>
      <c r="K1099" s="31"/>
    </row>
    <row r="1100" spans="1:13">
      <c r="A1100" s="13"/>
      <c r="B1100" s="9"/>
      <c r="C1100" s="1"/>
      <c r="D1100" s="1"/>
      <c r="E1100" s="5"/>
      <c r="F1100" s="56" t="s">
        <v>13</v>
      </c>
      <c r="G1100" s="27">
        <f>ROUNDUP(G1099,0)</f>
        <v>107</v>
      </c>
      <c r="H1100" s="28" t="s">
        <v>9</v>
      </c>
      <c r="J1100" s="31"/>
      <c r="K1100" s="31"/>
    </row>
    <row r="1101" spans="1:13">
      <c r="A1101" s="13"/>
      <c r="B1101" s="9"/>
      <c r="C1101" s="1"/>
      <c r="D1101" s="1"/>
      <c r="E1101" s="5"/>
      <c r="F1101" s="1"/>
      <c r="G1101" s="33"/>
      <c r="H1101" s="24"/>
      <c r="J1101" s="31"/>
      <c r="K1101" s="31"/>
    </row>
    <row r="1102" spans="1:13">
      <c r="A1102" s="18">
        <f>A951+1</f>
        <v>31</v>
      </c>
      <c r="B1102" s="9" t="s">
        <v>125</v>
      </c>
      <c r="J1102" s="31"/>
      <c r="K1102" s="31"/>
    </row>
    <row r="1103" spans="1:13">
      <c r="A1103" s="18"/>
      <c r="B1103" s="15" t="s">
        <v>56</v>
      </c>
      <c r="J1103" s="31"/>
      <c r="K1103" s="31"/>
    </row>
    <row r="1104" spans="1:13">
      <c r="A1104" s="13"/>
      <c r="B1104" s="46" t="s">
        <v>28</v>
      </c>
      <c r="C1104" s="1">
        <v>1</v>
      </c>
      <c r="D1104" s="5">
        <v>60</v>
      </c>
      <c r="E1104" s="5"/>
      <c r="F1104" s="5">
        <v>3.9</v>
      </c>
      <c r="G1104" s="4">
        <f>C1104*D1104*F1104</f>
        <v>234</v>
      </c>
      <c r="H1104" s="1" t="s">
        <v>17</v>
      </c>
      <c r="J1104" s="31"/>
      <c r="K1104" s="31"/>
    </row>
    <row r="1105" spans="1:11">
      <c r="A1105" s="13"/>
      <c r="B1105" s="46" t="s">
        <v>73</v>
      </c>
      <c r="C1105" s="1">
        <v>5</v>
      </c>
      <c r="D1105" s="5">
        <v>0.75</v>
      </c>
      <c r="E1105" s="5"/>
      <c r="F1105" s="5">
        <v>2.15</v>
      </c>
      <c r="G1105" s="4">
        <f>-C1105*D1105*F1105</f>
        <v>-8.0625</v>
      </c>
      <c r="H1105" s="1" t="s">
        <v>10</v>
      </c>
      <c r="J1105" s="31"/>
      <c r="K1105" s="31"/>
    </row>
    <row r="1106" spans="1:11">
      <c r="A1106" s="13"/>
      <c r="B1106" s="46"/>
      <c r="C1106" s="1"/>
      <c r="D1106" s="5"/>
      <c r="E1106" s="5"/>
      <c r="F1106" s="5"/>
      <c r="G1106" s="4"/>
      <c r="H1106" s="1"/>
      <c r="J1106" s="31"/>
      <c r="K1106" s="31"/>
    </row>
    <row r="1107" spans="1:11">
      <c r="A1107" s="13"/>
      <c r="B1107" s="9"/>
      <c r="C1107" s="1"/>
      <c r="D1107" s="5"/>
      <c r="E1107" s="5"/>
      <c r="F1107" s="34" t="s">
        <v>11</v>
      </c>
      <c r="G1107" s="53">
        <f>SUM(G1104:G1106)</f>
        <v>225.9375</v>
      </c>
      <c r="H1107" s="50" t="s">
        <v>17</v>
      </c>
      <c r="J1107" s="31"/>
      <c r="K1107" s="31"/>
    </row>
    <row r="1108" spans="1:11">
      <c r="A1108" s="13"/>
      <c r="B1108" s="9"/>
      <c r="C1108" s="1"/>
      <c r="D1108" s="1"/>
      <c r="E1108" s="1"/>
      <c r="F1108" s="56" t="s">
        <v>13</v>
      </c>
      <c r="G1108" s="27">
        <f>ROUND(G1107,0)</f>
        <v>226</v>
      </c>
      <c r="H1108" s="28" t="s">
        <v>17</v>
      </c>
      <c r="J1108" s="31"/>
      <c r="K1108" s="31"/>
    </row>
    <row r="1109" spans="1:11">
      <c r="A1109" s="13"/>
      <c r="B1109" s="9"/>
      <c r="C1109" s="1"/>
      <c r="D1109" s="1"/>
      <c r="E1109" s="1"/>
      <c r="F1109" s="1"/>
      <c r="G1109" s="33"/>
      <c r="H1109" s="24"/>
      <c r="J1109" s="31"/>
      <c r="K1109" s="31"/>
    </row>
    <row r="1110" spans="1:11">
      <c r="A1110" s="13"/>
      <c r="B1110" s="15" t="s">
        <v>445</v>
      </c>
      <c r="C1110" s="1"/>
      <c r="D1110" s="1"/>
      <c r="E1110" s="1"/>
      <c r="F1110" s="1"/>
      <c r="G1110" s="33"/>
      <c r="H1110" s="24"/>
      <c r="J1110" s="31"/>
      <c r="K1110" s="31"/>
    </row>
    <row r="1111" spans="1:11">
      <c r="A1111" s="13"/>
      <c r="B1111" s="46" t="s">
        <v>28</v>
      </c>
      <c r="C1111" s="1">
        <v>1</v>
      </c>
      <c r="D1111" s="5">
        <v>116</v>
      </c>
      <c r="E1111" s="5"/>
      <c r="F1111" s="5">
        <v>3.85</v>
      </c>
      <c r="G1111" s="4">
        <f>C1111*D1111*F1111</f>
        <v>446.6</v>
      </c>
      <c r="H1111" s="1" t="s">
        <v>17</v>
      </c>
      <c r="J1111" s="31"/>
      <c r="K1111" s="31"/>
    </row>
    <row r="1112" spans="1:11">
      <c r="A1112" s="13"/>
      <c r="B1112" s="46" t="s">
        <v>73</v>
      </c>
      <c r="C1112" s="1"/>
      <c r="D1112" s="5"/>
      <c r="E1112" s="5"/>
      <c r="F1112" s="5"/>
      <c r="G1112" s="4"/>
      <c r="H1112" s="1"/>
      <c r="J1112" s="31"/>
      <c r="K1112" s="31"/>
    </row>
    <row r="1113" spans="1:11">
      <c r="A1113" s="13"/>
      <c r="B1113" s="46" t="s">
        <v>460</v>
      </c>
      <c r="C1113" s="1">
        <v>2</v>
      </c>
      <c r="D1113" s="5">
        <v>1.35</v>
      </c>
      <c r="E1113" s="1">
        <v>0.23</v>
      </c>
      <c r="F1113" s="5">
        <v>2.4500000000000002</v>
      </c>
      <c r="G1113" s="4">
        <f>-C1113*D1113*E1113*F1113</f>
        <v>-1.5214500000000004</v>
      </c>
      <c r="H1113" s="1" t="s">
        <v>10</v>
      </c>
      <c r="J1113" s="31"/>
      <c r="K1113" s="31"/>
    </row>
    <row r="1114" spans="1:11">
      <c r="A1114" s="13"/>
      <c r="B1114" s="46" t="s">
        <v>97</v>
      </c>
      <c r="C1114" s="1">
        <v>4</v>
      </c>
      <c r="D1114" s="5">
        <v>1.05</v>
      </c>
      <c r="E1114" s="1">
        <v>0.23</v>
      </c>
      <c r="F1114" s="5">
        <v>2.4500000000000002</v>
      </c>
      <c r="G1114" s="4">
        <f>-C1114*D1114*E1114*F1114</f>
        <v>-2.3667000000000002</v>
      </c>
      <c r="H1114" s="1" t="s">
        <v>10</v>
      </c>
      <c r="J1114" s="31"/>
      <c r="K1114" s="31"/>
    </row>
    <row r="1115" spans="1:11">
      <c r="A1115" s="13"/>
      <c r="B1115" s="46" t="s">
        <v>98</v>
      </c>
      <c r="C1115" s="1">
        <v>1</v>
      </c>
      <c r="D1115" s="5">
        <v>0.9</v>
      </c>
      <c r="E1115" s="1">
        <v>0.23</v>
      </c>
      <c r="F1115" s="5">
        <v>2.4500000000000002</v>
      </c>
      <c r="G1115" s="4">
        <f>-C1115*D1115*E1115*F1115</f>
        <v>-0.5071500000000001</v>
      </c>
      <c r="H1115" s="1" t="s">
        <v>10</v>
      </c>
      <c r="J1115" s="31"/>
      <c r="K1115" s="31"/>
    </row>
    <row r="1116" spans="1:11">
      <c r="A1116" s="13"/>
      <c r="B1116" s="46" t="s">
        <v>99</v>
      </c>
      <c r="C1116" s="1">
        <v>18</v>
      </c>
      <c r="D1116" s="5">
        <v>0.75</v>
      </c>
      <c r="E1116" s="1">
        <v>0.23</v>
      </c>
      <c r="F1116" s="5">
        <v>2.15</v>
      </c>
      <c r="G1116" s="4">
        <f>-C1116*D1116*E1116*F1116</f>
        <v>-6.6757499999999999</v>
      </c>
      <c r="H1116" s="1" t="s">
        <v>10</v>
      </c>
      <c r="J1116" s="31"/>
      <c r="K1116" s="31"/>
    </row>
    <row r="1117" spans="1:11">
      <c r="A1117" s="13"/>
      <c r="B1117" s="46"/>
      <c r="C1117" s="1"/>
      <c r="D1117" s="5"/>
      <c r="E1117" s="5"/>
      <c r="F1117" s="5"/>
      <c r="G1117" s="4"/>
      <c r="H1117" s="1"/>
      <c r="J1117" s="31"/>
      <c r="K1117" s="31"/>
    </row>
    <row r="1118" spans="1:11">
      <c r="A1118" s="13"/>
      <c r="B1118" s="9"/>
      <c r="C1118" s="1"/>
      <c r="D1118" s="5"/>
      <c r="E1118" s="5"/>
      <c r="F1118" s="34" t="s">
        <v>11</v>
      </c>
      <c r="G1118" s="53">
        <f>SUM(G1111:G1117)</f>
        <v>435.52895000000001</v>
      </c>
      <c r="H1118" s="50" t="s">
        <v>17</v>
      </c>
      <c r="J1118" s="31"/>
      <c r="K1118" s="31"/>
    </row>
    <row r="1119" spans="1:11">
      <c r="A1119" s="13"/>
      <c r="B1119" s="9"/>
      <c r="C1119" s="1"/>
      <c r="D1119" s="1"/>
      <c r="E1119" s="1"/>
      <c r="F1119" s="56" t="s">
        <v>13</v>
      </c>
      <c r="G1119" s="27">
        <f>ROUND(G1118,0)</f>
        <v>436</v>
      </c>
      <c r="H1119" s="28" t="s">
        <v>17</v>
      </c>
      <c r="J1119" s="31"/>
      <c r="K1119" s="31"/>
    </row>
    <row r="1120" spans="1:11">
      <c r="A1120" s="13"/>
      <c r="B1120" s="9"/>
      <c r="C1120" s="1"/>
      <c r="D1120" s="1"/>
      <c r="E1120" s="1"/>
      <c r="F1120" s="1"/>
      <c r="G1120" s="33"/>
      <c r="H1120" s="24"/>
      <c r="J1120" s="31"/>
      <c r="K1120" s="31"/>
    </row>
    <row r="1121" spans="1:11">
      <c r="A1121" s="13"/>
      <c r="B1121" s="15" t="s">
        <v>57</v>
      </c>
      <c r="C1121" s="1"/>
      <c r="D1121" s="1"/>
      <c r="E1121" s="1"/>
      <c r="F1121" s="1"/>
      <c r="G1121" s="33"/>
      <c r="H1121" s="24"/>
      <c r="J1121" s="31"/>
      <c r="K1121" s="31"/>
    </row>
    <row r="1122" spans="1:11">
      <c r="A1122" s="13"/>
      <c r="B1122" s="46" t="s">
        <v>28</v>
      </c>
      <c r="C1122" s="1">
        <v>1</v>
      </c>
      <c r="D1122" s="5">
        <v>61</v>
      </c>
      <c r="E1122" s="5"/>
      <c r="F1122" s="5">
        <v>3.35</v>
      </c>
      <c r="G1122" s="4">
        <f>C1122*D1122*F1122</f>
        <v>204.35</v>
      </c>
      <c r="H1122" s="1" t="s">
        <v>17</v>
      </c>
      <c r="J1122" s="31"/>
      <c r="K1122" s="31"/>
    </row>
    <row r="1123" spans="1:11">
      <c r="A1123" s="13"/>
      <c r="B1123" s="46" t="s">
        <v>630</v>
      </c>
      <c r="C1123" s="1">
        <f>27*2</f>
        <v>54</v>
      </c>
      <c r="D1123" s="5">
        <v>0.7</v>
      </c>
      <c r="E1123" s="5"/>
      <c r="F1123" s="5">
        <f>4-0.45</f>
        <v>3.55</v>
      </c>
      <c r="G1123" s="4">
        <f>C1123*D1123*F1123</f>
        <v>134.18999999999997</v>
      </c>
      <c r="H1123" s="1"/>
      <c r="J1123" s="31"/>
      <c r="K1123" s="31"/>
    </row>
    <row r="1124" spans="1:11">
      <c r="A1124" s="13"/>
      <c r="B1124" s="46"/>
      <c r="C1124" s="1">
        <f>27*2</f>
        <v>54</v>
      </c>
      <c r="D1124" s="5">
        <f>(0.45-0.23)</f>
        <v>0.22</v>
      </c>
      <c r="E1124" s="5"/>
      <c r="F1124" s="5">
        <f>4-0.45</f>
        <v>3.55</v>
      </c>
      <c r="G1124" s="4">
        <f>C1124*D1124*F1124</f>
        <v>42.173999999999999</v>
      </c>
      <c r="H1124" s="1"/>
      <c r="J1124" s="31"/>
      <c r="K1124" s="31"/>
    </row>
    <row r="1125" spans="1:11">
      <c r="A1125" s="13"/>
      <c r="B1125" s="46" t="s">
        <v>73</v>
      </c>
      <c r="C1125" s="31"/>
      <c r="D1125" s="31"/>
      <c r="E1125" s="31"/>
      <c r="F1125" s="31"/>
      <c r="H1125" s="31"/>
      <c r="J1125" s="31"/>
      <c r="K1125" s="31"/>
    </row>
    <row r="1126" spans="1:11">
      <c r="A1126" s="13"/>
      <c r="B1126" s="46" t="s">
        <v>98</v>
      </c>
      <c r="C1126" s="1">
        <v>3</v>
      </c>
      <c r="D1126" s="5">
        <v>0.9</v>
      </c>
      <c r="E1126" s="5"/>
      <c r="F1126" s="5">
        <v>2.4500000000000002</v>
      </c>
      <c r="G1126" s="4">
        <f>-C1126*D1126*F1126</f>
        <v>-6.6150000000000011</v>
      </c>
      <c r="H1126" s="1" t="s">
        <v>10</v>
      </c>
      <c r="J1126" s="31"/>
      <c r="K1126" s="31"/>
    </row>
    <row r="1127" spans="1:11">
      <c r="A1127" s="13"/>
      <c r="B1127" s="46" t="s">
        <v>99</v>
      </c>
      <c r="C1127" s="1">
        <v>12</v>
      </c>
      <c r="D1127" s="5">
        <v>0.75</v>
      </c>
      <c r="E1127" s="5"/>
      <c r="F1127" s="5">
        <v>2.15</v>
      </c>
      <c r="G1127" s="4">
        <f>-C1127*D1127*F1127</f>
        <v>-19.349999999999998</v>
      </c>
      <c r="H1127" s="1" t="s">
        <v>10</v>
      </c>
      <c r="J1127" s="31"/>
      <c r="K1127" s="31"/>
    </row>
    <row r="1128" spans="1:11">
      <c r="A1128" s="13"/>
      <c r="B1128" s="46"/>
      <c r="C1128" s="1"/>
      <c r="D1128" s="5"/>
      <c r="E1128" s="5"/>
      <c r="F1128" s="5"/>
      <c r="G1128" s="4"/>
      <c r="H1128" s="1"/>
      <c r="J1128" s="31"/>
      <c r="K1128" s="31"/>
    </row>
    <row r="1129" spans="1:11">
      <c r="A1129" s="13"/>
      <c r="B1129" s="9"/>
      <c r="C1129" s="1"/>
      <c r="D1129" s="5"/>
      <c r="E1129" s="5"/>
      <c r="F1129" s="34" t="s">
        <v>11</v>
      </c>
      <c r="G1129" s="53">
        <f>SUM(G1122:G1128)</f>
        <v>354.74899999999991</v>
      </c>
      <c r="H1129" s="50" t="s">
        <v>17</v>
      </c>
      <c r="J1129" s="31"/>
      <c r="K1129" s="31"/>
    </row>
    <row r="1130" spans="1:11">
      <c r="A1130" s="13"/>
      <c r="B1130" s="9"/>
      <c r="C1130" s="1"/>
      <c r="D1130" s="1"/>
      <c r="E1130" s="1"/>
      <c r="F1130" s="56" t="s">
        <v>13</v>
      </c>
      <c r="G1130" s="27">
        <f>ROUND(G1129,0)</f>
        <v>355</v>
      </c>
      <c r="H1130" s="28" t="s">
        <v>17</v>
      </c>
      <c r="J1130" s="31"/>
      <c r="K1130" s="31"/>
    </row>
    <row r="1131" spans="1:11">
      <c r="A1131" s="13"/>
      <c r="B1131" s="9"/>
      <c r="C1131" s="1"/>
      <c r="D1131" s="1"/>
      <c r="E1131" s="1"/>
      <c r="F1131" s="1"/>
      <c r="G1131" s="33"/>
      <c r="H1131" s="24"/>
      <c r="J1131" s="31"/>
      <c r="K1131" s="31"/>
    </row>
    <row r="1132" spans="1:11">
      <c r="A1132" s="18">
        <f>A1102+1</f>
        <v>32</v>
      </c>
      <c r="B1132" s="19" t="s">
        <v>126</v>
      </c>
      <c r="C1132" s="48"/>
      <c r="D1132" s="48"/>
      <c r="E1132" s="48"/>
      <c r="F1132" s="1"/>
      <c r="G1132" s="33"/>
      <c r="H1132" s="24"/>
      <c r="J1132" s="31"/>
      <c r="K1132" s="31"/>
    </row>
    <row r="1133" spans="1:11">
      <c r="A1133" s="18"/>
      <c r="B1133" s="15" t="s">
        <v>56</v>
      </c>
      <c r="C1133" s="48"/>
      <c r="D1133" s="48"/>
      <c r="E1133" s="48"/>
      <c r="F1133" s="1"/>
      <c r="G1133" s="33"/>
      <c r="H1133" s="24"/>
      <c r="J1133" s="31"/>
      <c r="K1133" s="31"/>
    </row>
    <row r="1134" spans="1:11">
      <c r="A1134" s="18"/>
      <c r="B1134" s="46" t="s">
        <v>454</v>
      </c>
      <c r="C1134" s="1">
        <v>9</v>
      </c>
      <c r="D1134" s="5">
        <v>1.2</v>
      </c>
      <c r="E1134" s="5"/>
      <c r="F1134" s="5">
        <v>1.2</v>
      </c>
      <c r="G1134" s="4">
        <f t="shared" ref="G1134:G1139" si="85">C1134*D1134*F1134</f>
        <v>12.959999999999999</v>
      </c>
      <c r="H1134" s="1" t="s">
        <v>17</v>
      </c>
      <c r="J1134" s="31"/>
      <c r="K1134" s="31"/>
    </row>
    <row r="1135" spans="1:11">
      <c r="A1135" s="18"/>
      <c r="B1135" s="46" t="s">
        <v>30</v>
      </c>
      <c r="C1135" s="1">
        <v>1</v>
      </c>
      <c r="D1135" s="5">
        <v>1.8</v>
      </c>
      <c r="E1135" s="5"/>
      <c r="F1135" s="5">
        <v>2.4500000000000002</v>
      </c>
      <c r="G1135" s="4">
        <f t="shared" si="85"/>
        <v>4.41</v>
      </c>
      <c r="H1135" s="1" t="s">
        <v>10</v>
      </c>
      <c r="J1135" s="31"/>
      <c r="K1135" s="31"/>
    </row>
    <row r="1136" spans="1:11">
      <c r="A1136" s="18"/>
      <c r="B1136" s="46" t="s">
        <v>456</v>
      </c>
      <c r="C1136" s="1">
        <v>1</v>
      </c>
      <c r="D1136" s="5">
        <v>1.5</v>
      </c>
      <c r="E1136" s="5"/>
      <c r="F1136" s="5">
        <v>2.0499999999999998</v>
      </c>
      <c r="G1136" s="4">
        <f t="shared" si="85"/>
        <v>3.0749999999999997</v>
      </c>
      <c r="H1136" s="1" t="s">
        <v>10</v>
      </c>
      <c r="J1136" s="31"/>
      <c r="K1136" s="31"/>
    </row>
    <row r="1137" spans="1:11">
      <c r="A1137" s="18"/>
      <c r="B1137" s="46" t="s">
        <v>29</v>
      </c>
      <c r="C1137" s="1">
        <v>11</v>
      </c>
      <c r="D1137" s="5">
        <v>1.35</v>
      </c>
      <c r="E1137" s="5"/>
      <c r="F1137" s="5">
        <v>2.4500000000000002</v>
      </c>
      <c r="G1137" s="4">
        <f t="shared" si="85"/>
        <v>36.382500000000007</v>
      </c>
      <c r="H1137" s="1" t="s">
        <v>10</v>
      </c>
      <c r="J1137" s="31"/>
      <c r="K1137" s="31"/>
    </row>
    <row r="1138" spans="1:11">
      <c r="A1138" s="18"/>
      <c r="B1138" s="46" t="s">
        <v>95</v>
      </c>
      <c r="C1138" s="1">
        <v>2</v>
      </c>
      <c r="D1138" s="5">
        <v>1.2</v>
      </c>
      <c r="E1138" s="5"/>
      <c r="F1138" s="5">
        <v>2.4500000000000002</v>
      </c>
      <c r="G1138" s="4">
        <f t="shared" si="85"/>
        <v>5.88</v>
      </c>
      <c r="H1138" s="1" t="s">
        <v>10</v>
      </c>
      <c r="J1138" s="31"/>
      <c r="K1138" s="31"/>
    </row>
    <row r="1139" spans="1:11">
      <c r="A1139" s="18"/>
      <c r="B1139" s="46" t="s">
        <v>96</v>
      </c>
      <c r="C1139" s="1">
        <v>3</v>
      </c>
      <c r="D1139" s="5">
        <v>1.05</v>
      </c>
      <c r="E1139" s="5"/>
      <c r="F1139" s="5">
        <v>2.4500000000000002</v>
      </c>
      <c r="G1139" s="4">
        <f t="shared" si="85"/>
        <v>7.7175000000000011</v>
      </c>
      <c r="H1139" s="1" t="s">
        <v>10</v>
      </c>
      <c r="J1139" s="31"/>
      <c r="K1139" s="31"/>
    </row>
    <row r="1140" spans="1:11">
      <c r="A1140" s="18"/>
      <c r="B1140" s="46"/>
      <c r="C1140" s="61"/>
      <c r="D1140" s="5"/>
      <c r="E1140" s="68"/>
      <c r="F1140" s="5"/>
      <c r="G1140" s="2"/>
      <c r="H1140" s="1"/>
      <c r="J1140" s="31"/>
      <c r="K1140" s="31"/>
    </row>
    <row r="1141" spans="1:11">
      <c r="A1141" s="18"/>
      <c r="B1141" s="29"/>
      <c r="C1141" s="48"/>
      <c r="D1141" s="48"/>
      <c r="E1141" s="48"/>
      <c r="F1141" s="34" t="s">
        <v>11</v>
      </c>
      <c r="G1141" s="53">
        <f>SUM(G1134:G1140)</f>
        <v>70.425000000000011</v>
      </c>
      <c r="H1141" s="50" t="s">
        <v>17</v>
      </c>
      <c r="J1141" s="31"/>
      <c r="K1141" s="31"/>
    </row>
    <row r="1142" spans="1:11">
      <c r="A1142" s="18"/>
      <c r="B1142" s="29"/>
      <c r="C1142" s="48"/>
      <c r="D1142" s="48"/>
      <c r="E1142" s="48"/>
      <c r="F1142" s="56" t="s">
        <v>13</v>
      </c>
      <c r="G1142" s="27">
        <f>ROUNDUP(G1141,0)</f>
        <v>71</v>
      </c>
      <c r="H1142" s="28" t="s">
        <v>17</v>
      </c>
      <c r="J1142" s="31"/>
      <c r="K1142" s="31"/>
    </row>
    <row r="1143" spans="1:11">
      <c r="A1143" s="18"/>
      <c r="B1143" s="29"/>
      <c r="C1143" s="48"/>
      <c r="D1143" s="48"/>
      <c r="E1143" s="48"/>
      <c r="F1143" s="1"/>
      <c r="G1143" s="33"/>
      <c r="H1143" s="24"/>
      <c r="J1143" s="31"/>
      <c r="K1143" s="31"/>
    </row>
    <row r="1144" spans="1:11">
      <c r="A1144" s="18"/>
      <c r="B1144" s="15" t="s">
        <v>57</v>
      </c>
      <c r="C1144" s="48"/>
      <c r="D1144" s="48"/>
      <c r="E1144" s="48"/>
      <c r="F1144" s="1"/>
      <c r="G1144" s="33"/>
      <c r="H1144" s="24"/>
      <c r="J1144" s="31"/>
      <c r="K1144" s="31"/>
    </row>
    <row r="1145" spans="1:11">
      <c r="A1145" s="18"/>
      <c r="B1145" s="46"/>
      <c r="C1145" s="61">
        <v>1</v>
      </c>
      <c r="D1145" s="5">
        <v>1.2</v>
      </c>
      <c r="E1145" s="68"/>
      <c r="F1145" s="5">
        <v>2.4500000000000002</v>
      </c>
      <c r="G1145" s="2">
        <f>C1145*D1145*F1145</f>
        <v>2.94</v>
      </c>
      <c r="H1145" s="1" t="s">
        <v>17</v>
      </c>
      <c r="J1145" s="31"/>
      <c r="K1145" s="31"/>
    </row>
    <row r="1146" spans="1:11">
      <c r="A1146" s="18"/>
      <c r="B1146" s="29"/>
      <c r="C1146" s="48"/>
      <c r="D1146" s="48"/>
      <c r="E1146" s="48"/>
      <c r="F1146" s="56" t="s">
        <v>13</v>
      </c>
      <c r="G1146" s="27">
        <f>ROUNDUP(G1145,0)</f>
        <v>3</v>
      </c>
      <c r="H1146" s="28" t="s">
        <v>17</v>
      </c>
      <c r="J1146" s="31"/>
      <c r="K1146" s="31"/>
    </row>
    <row r="1147" spans="1:11">
      <c r="A1147" s="18"/>
      <c r="B1147" s="29"/>
      <c r="C1147" s="48"/>
      <c r="D1147" s="48"/>
      <c r="E1147" s="48"/>
      <c r="F1147" s="1"/>
      <c r="G1147" s="33"/>
      <c r="H1147" s="24"/>
      <c r="J1147" s="31"/>
      <c r="K1147" s="31"/>
    </row>
    <row r="1148" spans="1:11">
      <c r="A1148" s="18">
        <f>A1132+1</f>
        <v>33</v>
      </c>
      <c r="B1148" s="19" t="s">
        <v>63</v>
      </c>
      <c r="C1148" s="48"/>
      <c r="D1148" s="48"/>
      <c r="E1148" s="48"/>
      <c r="F1148" s="1"/>
      <c r="G1148" s="33"/>
      <c r="H1148" s="24"/>
      <c r="J1148" s="31"/>
      <c r="K1148" s="31"/>
    </row>
    <row r="1149" spans="1:11">
      <c r="A1149" s="18"/>
      <c r="B1149" s="15" t="s">
        <v>56</v>
      </c>
      <c r="C1149" s="48"/>
      <c r="D1149" s="48"/>
      <c r="E1149" s="48"/>
      <c r="F1149" s="1"/>
      <c r="G1149" s="33"/>
      <c r="H1149" s="24"/>
      <c r="J1149" s="31"/>
      <c r="K1149" s="31"/>
    </row>
    <row r="1150" spans="1:11">
      <c r="A1150" s="18"/>
      <c r="B1150" s="46" t="s">
        <v>94</v>
      </c>
      <c r="C1150" s="61">
        <v>1</v>
      </c>
      <c r="D1150" s="5">
        <v>2</v>
      </c>
      <c r="E1150" s="68"/>
      <c r="F1150" s="5">
        <v>2.4500000000000002</v>
      </c>
      <c r="G1150" s="2">
        <f>C1150*D1150*F1150</f>
        <v>4.9000000000000004</v>
      </c>
      <c r="H1150" s="1" t="s">
        <v>17</v>
      </c>
      <c r="J1150" s="31"/>
      <c r="K1150" s="31"/>
    </row>
    <row r="1151" spans="1:11">
      <c r="A1151" s="18"/>
      <c r="B1151" s="29"/>
      <c r="C1151" s="48"/>
      <c r="D1151" s="48"/>
      <c r="E1151" s="48"/>
      <c r="F1151" s="56" t="s">
        <v>13</v>
      </c>
      <c r="G1151" s="27">
        <f>ROUNDUP(G1150,0)</f>
        <v>5</v>
      </c>
      <c r="H1151" s="28" t="s">
        <v>17</v>
      </c>
      <c r="J1151" s="31"/>
      <c r="K1151" s="31"/>
    </row>
    <row r="1152" spans="1:11">
      <c r="A1152" s="18"/>
      <c r="B1152" s="29"/>
      <c r="C1152" s="48"/>
      <c r="D1152" s="48"/>
      <c r="E1152" s="48"/>
      <c r="F1152" s="1"/>
      <c r="G1152" s="33"/>
      <c r="H1152" s="24"/>
      <c r="J1152" s="31"/>
      <c r="K1152" s="31"/>
    </row>
    <row r="1153" spans="1:17">
      <c r="A1153" s="18"/>
      <c r="B1153" s="29"/>
      <c r="C1153" s="48"/>
      <c r="D1153" s="48"/>
      <c r="E1153" s="48"/>
      <c r="F1153" s="1"/>
      <c r="G1153" s="33"/>
      <c r="H1153" s="24"/>
      <c r="J1153" s="31"/>
      <c r="K1153" s="31"/>
    </row>
    <row r="1154" spans="1:17">
      <c r="A1154" s="18">
        <f>A1148+1</f>
        <v>34</v>
      </c>
      <c r="B1154" s="12" t="s">
        <v>417</v>
      </c>
      <c r="C1154" s="48"/>
      <c r="D1154" s="48"/>
      <c r="E1154" s="48"/>
      <c r="F1154" s="1"/>
      <c r="G1154" s="33"/>
      <c r="H1154" s="24"/>
      <c r="J1154" s="31"/>
      <c r="K1154" s="31"/>
    </row>
    <row r="1155" spans="1:17">
      <c r="A1155" s="18"/>
      <c r="B1155" s="15" t="s">
        <v>56</v>
      </c>
      <c r="C1155" s="48"/>
      <c r="D1155" s="48"/>
      <c r="E1155" s="48"/>
      <c r="F1155" s="1"/>
      <c r="G1155" s="33"/>
      <c r="H1155" s="24"/>
      <c r="J1155" s="31"/>
      <c r="K1155" s="31"/>
    </row>
    <row r="1156" spans="1:17">
      <c r="A1156" s="18"/>
      <c r="B1156" s="46" t="s">
        <v>98</v>
      </c>
      <c r="C1156" s="61">
        <f>C1177</f>
        <v>3</v>
      </c>
      <c r="D1156" s="5">
        <f>D1177+F1177+F1177+0.3</f>
        <v>6.1000000000000005</v>
      </c>
      <c r="E1156" s="5"/>
      <c r="F1156" s="5"/>
      <c r="G1156" s="2">
        <f>C1156*D1156</f>
        <v>18.3</v>
      </c>
      <c r="H1156" s="1" t="s">
        <v>49</v>
      </c>
      <c r="J1156" s="31"/>
      <c r="K1156" s="31"/>
    </row>
    <row r="1157" spans="1:17">
      <c r="A1157" s="18"/>
      <c r="B1157" s="29"/>
      <c r="C1157" s="48"/>
      <c r="D1157" s="48"/>
      <c r="E1157" s="48"/>
      <c r="F1157" s="56" t="s">
        <v>13</v>
      </c>
      <c r="G1157" s="27">
        <f>ROUNDUP(G1156,0)</f>
        <v>19</v>
      </c>
      <c r="H1157" s="28" t="s">
        <v>49</v>
      </c>
      <c r="J1157" s="31"/>
      <c r="K1157" s="31"/>
    </row>
    <row r="1158" spans="1:17">
      <c r="A1158" s="18"/>
      <c r="B1158" s="29"/>
      <c r="C1158" s="48"/>
      <c r="D1158" s="48"/>
      <c r="E1158" s="48"/>
      <c r="F1158" s="1"/>
      <c r="G1158" s="33"/>
      <c r="H1158" s="24"/>
      <c r="J1158" s="31"/>
      <c r="K1158" s="31"/>
    </row>
    <row r="1159" spans="1:17">
      <c r="A1159" s="18"/>
      <c r="B1159" s="15" t="s">
        <v>445</v>
      </c>
      <c r="C1159" s="48"/>
      <c r="D1159" s="48"/>
      <c r="E1159" s="48"/>
      <c r="F1159" s="1"/>
      <c r="G1159" s="33"/>
      <c r="H1159" s="24"/>
      <c r="J1159" s="31"/>
      <c r="K1159" s="31"/>
    </row>
    <row r="1160" spans="1:17">
      <c r="A1160" s="18"/>
      <c r="B1160" s="46" t="s">
        <v>460</v>
      </c>
      <c r="C1160" s="61">
        <f>C1181</f>
        <v>6</v>
      </c>
      <c r="D1160" s="5">
        <f>D1181+F1181+F1181+0.3</f>
        <v>6.55</v>
      </c>
      <c r="E1160" s="68"/>
      <c r="F1160" s="5"/>
      <c r="G1160" s="2">
        <f>C1160*D1160</f>
        <v>39.299999999999997</v>
      </c>
      <c r="H1160" s="1" t="s">
        <v>49</v>
      </c>
      <c r="J1160" s="31"/>
      <c r="K1160" s="31"/>
    </row>
    <row r="1161" spans="1:17">
      <c r="A1161" s="18"/>
      <c r="B1161" s="46" t="s">
        <v>97</v>
      </c>
      <c r="C1161" s="61">
        <f>C1182</f>
        <v>4</v>
      </c>
      <c r="D1161" s="5">
        <f>D1182+F1182+F1182+0.3</f>
        <v>6.25</v>
      </c>
      <c r="E1161" s="68"/>
      <c r="F1161" s="5"/>
      <c r="G1161" s="2">
        <f>C1161*D1161</f>
        <v>25</v>
      </c>
      <c r="H1161" s="24" t="s">
        <v>10</v>
      </c>
      <c r="J1161" s="31"/>
      <c r="K1161" s="31"/>
    </row>
    <row r="1162" spans="1:17">
      <c r="A1162" s="18"/>
      <c r="B1162" s="46" t="s">
        <v>98</v>
      </c>
      <c r="C1162" s="61">
        <f>C1183</f>
        <v>2</v>
      </c>
      <c r="D1162" s="5">
        <f>D1183+F1183+F1183+0.3</f>
        <v>6.1000000000000005</v>
      </c>
      <c r="E1162" s="68"/>
      <c r="F1162" s="5"/>
      <c r="G1162" s="2">
        <f>C1162*D1162</f>
        <v>12.200000000000001</v>
      </c>
      <c r="H1162" s="24" t="s">
        <v>10</v>
      </c>
      <c r="J1162" s="31"/>
      <c r="K1162" s="46"/>
      <c r="L1162" s="1"/>
      <c r="M1162" s="5"/>
      <c r="N1162" s="1"/>
      <c r="O1162" s="5"/>
      <c r="P1162" s="4"/>
      <c r="Q1162" s="1" t="s">
        <v>10</v>
      </c>
    </row>
    <row r="1163" spans="1:17">
      <c r="A1163" s="18"/>
      <c r="B1163" s="29"/>
      <c r="C1163" s="61"/>
      <c r="D1163" s="5"/>
      <c r="E1163" s="48"/>
      <c r="F1163" s="1"/>
      <c r="G1163" s="33"/>
      <c r="H1163" s="24"/>
      <c r="J1163" s="31"/>
      <c r="K1163" s="46"/>
      <c r="L1163" s="1"/>
      <c r="M1163" s="5"/>
      <c r="N1163" s="1"/>
      <c r="O1163" s="5"/>
      <c r="P1163" s="4"/>
      <c r="Q1163" s="1" t="s">
        <v>10</v>
      </c>
    </row>
    <row r="1164" spans="1:17">
      <c r="A1164" s="18"/>
      <c r="B1164" s="29"/>
      <c r="C1164" s="48"/>
      <c r="D1164" s="48"/>
      <c r="E1164" s="48"/>
      <c r="F1164" s="34" t="s">
        <v>11</v>
      </c>
      <c r="G1164" s="53">
        <f>SUM(G1160:G1163)</f>
        <v>76.5</v>
      </c>
      <c r="H1164" s="50" t="s">
        <v>49</v>
      </c>
      <c r="J1164" s="31"/>
      <c r="K1164" s="46"/>
      <c r="L1164" s="1"/>
      <c r="M1164" s="5"/>
      <c r="N1164" s="1"/>
      <c r="O1164" s="5"/>
      <c r="P1164" s="4"/>
      <c r="Q1164" s="1" t="s">
        <v>10</v>
      </c>
    </row>
    <row r="1165" spans="1:17">
      <c r="A1165" s="18"/>
      <c r="B1165" s="29"/>
      <c r="C1165" s="48"/>
      <c r="D1165" s="48"/>
      <c r="E1165" s="48"/>
      <c r="F1165" s="56" t="s">
        <v>13</v>
      </c>
      <c r="G1165" s="27">
        <f>ROUNDUP(G1164,0)</f>
        <v>77</v>
      </c>
      <c r="H1165" s="28" t="s">
        <v>49</v>
      </c>
      <c r="J1165" s="31"/>
      <c r="K1165" s="31"/>
    </row>
    <row r="1166" spans="1:17">
      <c r="A1166" s="18"/>
      <c r="B1166" s="29"/>
      <c r="C1166" s="48"/>
      <c r="D1166" s="48"/>
      <c r="E1166" s="48"/>
      <c r="F1166" s="1"/>
      <c r="G1166" s="33"/>
      <c r="H1166" s="24"/>
      <c r="J1166" s="31"/>
      <c r="K1166" s="31"/>
    </row>
    <row r="1167" spans="1:17">
      <c r="A1167" s="18"/>
      <c r="B1167" s="15" t="s">
        <v>57</v>
      </c>
      <c r="C1167" s="48"/>
      <c r="D1167" s="48"/>
      <c r="E1167" s="48"/>
      <c r="F1167" s="1"/>
      <c r="G1167" s="33"/>
      <c r="H1167" s="24"/>
      <c r="J1167" s="31"/>
      <c r="K1167" s="31"/>
    </row>
    <row r="1168" spans="1:17">
      <c r="A1168" s="18"/>
      <c r="B1168" s="46" t="s">
        <v>460</v>
      </c>
      <c r="C1168" s="61">
        <f>C1189</f>
        <v>5</v>
      </c>
      <c r="D1168" s="5">
        <f>D1189+F1189+F1189+0.3</f>
        <v>6.55</v>
      </c>
      <c r="E1168" s="68"/>
      <c r="F1168" s="5"/>
      <c r="G1168" s="2">
        <f>C1168*D1168</f>
        <v>32.75</v>
      </c>
      <c r="H1168" s="1" t="s">
        <v>49</v>
      </c>
      <c r="J1168" s="46"/>
      <c r="K1168" s="1"/>
      <c r="L1168" s="5"/>
      <c r="M1168" s="1"/>
      <c r="N1168" s="5"/>
      <c r="O1168" s="4"/>
      <c r="P1168" s="1"/>
    </row>
    <row r="1169" spans="1:16">
      <c r="A1169" s="18"/>
      <c r="B1169" s="46" t="s">
        <v>97</v>
      </c>
      <c r="C1169" s="61">
        <f>C1190</f>
        <v>2</v>
      </c>
      <c r="D1169" s="5">
        <f>D1190+F1190+F1190+0.3</f>
        <v>6.25</v>
      </c>
      <c r="E1169" s="68"/>
      <c r="F1169" s="5"/>
      <c r="G1169" s="2">
        <f>C1169*D1169</f>
        <v>12.5</v>
      </c>
      <c r="H1169" s="24" t="s">
        <v>10</v>
      </c>
      <c r="J1169" s="46"/>
      <c r="K1169" s="1"/>
      <c r="L1169" s="5"/>
      <c r="M1169" s="1"/>
      <c r="N1169" s="5"/>
      <c r="O1169" s="4"/>
      <c r="P1169" s="1"/>
    </row>
    <row r="1170" spans="1:16">
      <c r="A1170" s="18"/>
      <c r="B1170" s="46" t="s">
        <v>98</v>
      </c>
      <c r="C1170" s="61">
        <f>C1191</f>
        <v>3</v>
      </c>
      <c r="D1170" s="5">
        <f>D1191+F1191+F1191+0.3</f>
        <v>6.1000000000000005</v>
      </c>
      <c r="E1170" s="68"/>
      <c r="F1170" s="5"/>
      <c r="G1170" s="2">
        <f>C1170*D1170</f>
        <v>18.3</v>
      </c>
      <c r="H1170" s="24" t="s">
        <v>10</v>
      </c>
      <c r="J1170" s="46"/>
      <c r="K1170" s="1"/>
      <c r="L1170" s="5"/>
      <c r="M1170" s="1"/>
      <c r="N1170" s="5"/>
      <c r="O1170" s="4"/>
      <c r="P1170" s="1"/>
    </row>
    <row r="1171" spans="1:16">
      <c r="A1171" s="18"/>
      <c r="B1171" s="29"/>
      <c r="C1171" s="48"/>
      <c r="D1171" s="48"/>
      <c r="E1171" s="48"/>
      <c r="F1171" s="1"/>
      <c r="G1171" s="33"/>
      <c r="H1171" s="24"/>
      <c r="J1171" s="31"/>
      <c r="K1171" s="31"/>
    </row>
    <row r="1172" spans="1:16">
      <c r="A1172" s="18"/>
      <c r="B1172" s="29"/>
      <c r="C1172" s="48"/>
      <c r="D1172" s="48"/>
      <c r="E1172" s="48"/>
      <c r="F1172" s="34" t="s">
        <v>11</v>
      </c>
      <c r="G1172" s="53">
        <f>SUM(G1168:G1171)</f>
        <v>63.55</v>
      </c>
      <c r="H1172" s="50" t="s">
        <v>49</v>
      </c>
      <c r="J1172" s="31"/>
      <c r="K1172" s="31"/>
    </row>
    <row r="1173" spans="1:16">
      <c r="A1173" s="18"/>
      <c r="B1173" s="29"/>
      <c r="C1173" s="48"/>
      <c r="D1173" s="48"/>
      <c r="E1173" s="48"/>
      <c r="F1173" s="56" t="s">
        <v>13</v>
      </c>
      <c r="G1173" s="27">
        <f>ROUNDUP(G1172,0)</f>
        <v>64</v>
      </c>
      <c r="H1173" s="28" t="s">
        <v>49</v>
      </c>
      <c r="J1173" s="31"/>
      <c r="K1173" s="31"/>
    </row>
    <row r="1174" spans="1:16">
      <c r="A1174" s="18"/>
      <c r="B1174" s="29"/>
      <c r="C1174" s="48"/>
      <c r="D1174" s="48"/>
      <c r="E1174" s="48"/>
      <c r="F1174" s="1"/>
      <c r="G1174" s="33"/>
      <c r="H1174" s="24"/>
      <c r="J1174" s="31"/>
      <c r="K1174" s="31"/>
    </row>
    <row r="1175" spans="1:16" ht="27.6">
      <c r="A1175" s="18">
        <f>A1154+1</f>
        <v>35</v>
      </c>
      <c r="B1175" s="12" t="s">
        <v>212</v>
      </c>
      <c r="C1175" s="48"/>
      <c r="D1175" s="48"/>
      <c r="E1175" s="48"/>
      <c r="F1175" s="1"/>
      <c r="G1175" s="33"/>
      <c r="H1175" s="24"/>
      <c r="J1175" s="31"/>
      <c r="K1175" s="31"/>
    </row>
    <row r="1176" spans="1:16">
      <c r="A1176" s="18"/>
      <c r="B1176" s="15" t="s">
        <v>56</v>
      </c>
      <c r="C1176" s="48"/>
      <c r="D1176" s="48"/>
      <c r="E1176" s="48"/>
      <c r="F1176" s="1"/>
      <c r="G1176" s="33"/>
      <c r="H1176" s="24"/>
      <c r="J1176" s="31"/>
      <c r="K1176" s="31"/>
    </row>
    <row r="1177" spans="1:16">
      <c r="A1177" s="18"/>
      <c r="B1177" s="46" t="s">
        <v>98</v>
      </c>
      <c r="C1177" s="61">
        <v>3</v>
      </c>
      <c r="D1177" s="5">
        <v>0.9</v>
      </c>
      <c r="E1177" s="68"/>
      <c r="F1177" s="5">
        <v>2.4500000000000002</v>
      </c>
      <c r="G1177" s="2">
        <f>C1177*D1177*F1177</f>
        <v>6.6150000000000011</v>
      </c>
      <c r="H1177" s="1" t="s">
        <v>17</v>
      </c>
      <c r="J1177" s="31"/>
      <c r="K1177" s="31"/>
    </row>
    <row r="1178" spans="1:16">
      <c r="A1178" s="18"/>
      <c r="B1178" s="29"/>
      <c r="C1178" s="48"/>
      <c r="D1178" s="48"/>
      <c r="E1178" s="48"/>
      <c r="F1178" s="56" t="s">
        <v>13</v>
      </c>
      <c r="G1178" s="27">
        <f>ROUNDUP(G1177,0)</f>
        <v>7</v>
      </c>
      <c r="H1178" s="28" t="s">
        <v>17</v>
      </c>
      <c r="J1178" s="31"/>
      <c r="K1178" s="31"/>
    </row>
    <row r="1179" spans="1:16">
      <c r="A1179" s="18"/>
      <c r="B1179" s="29"/>
      <c r="C1179" s="48"/>
      <c r="D1179" s="48"/>
      <c r="E1179" s="48"/>
      <c r="F1179" s="1"/>
      <c r="G1179" s="33"/>
      <c r="H1179" s="24"/>
      <c r="J1179" s="31"/>
      <c r="K1179" s="31"/>
    </row>
    <row r="1180" spans="1:16">
      <c r="A1180" s="18"/>
      <c r="B1180" s="15" t="s">
        <v>445</v>
      </c>
      <c r="C1180" s="48"/>
      <c r="D1180" s="48"/>
      <c r="E1180" s="48"/>
      <c r="F1180" s="1"/>
      <c r="G1180" s="33"/>
      <c r="H1180" s="24"/>
      <c r="J1180" s="31"/>
      <c r="K1180" s="31"/>
    </row>
    <row r="1181" spans="1:16">
      <c r="A1181" s="18"/>
      <c r="B1181" s="46" t="s">
        <v>460</v>
      </c>
      <c r="C1181" s="1">
        <v>6</v>
      </c>
      <c r="D1181" s="5">
        <v>1.35</v>
      </c>
      <c r="E1181" s="1"/>
      <c r="F1181" s="5">
        <v>2.4500000000000002</v>
      </c>
      <c r="G1181" s="2">
        <f>C1181*D1181*F1181</f>
        <v>19.845000000000006</v>
      </c>
      <c r="H1181" s="1" t="s">
        <v>17</v>
      </c>
      <c r="J1181" s="31"/>
      <c r="K1181" s="31"/>
    </row>
    <row r="1182" spans="1:16">
      <c r="A1182" s="18"/>
      <c r="B1182" s="46" t="s">
        <v>97</v>
      </c>
      <c r="C1182" s="1">
        <v>4</v>
      </c>
      <c r="D1182" s="5">
        <v>1.05</v>
      </c>
      <c r="E1182" s="1"/>
      <c r="F1182" s="5">
        <v>2.4500000000000002</v>
      </c>
      <c r="G1182" s="2">
        <f>C1182*D1182*F1182</f>
        <v>10.290000000000001</v>
      </c>
      <c r="H1182" s="1" t="s">
        <v>10</v>
      </c>
      <c r="J1182" s="31"/>
      <c r="K1182" s="31"/>
    </row>
    <row r="1183" spans="1:16">
      <c r="A1183" s="18"/>
      <c r="B1183" s="46" t="s">
        <v>98</v>
      </c>
      <c r="C1183" s="1">
        <v>2</v>
      </c>
      <c r="D1183" s="5">
        <v>0.9</v>
      </c>
      <c r="E1183" s="1"/>
      <c r="F1183" s="5">
        <v>2.4500000000000002</v>
      </c>
      <c r="G1183" s="2">
        <f>C1183*D1183*F1183</f>
        <v>4.41</v>
      </c>
      <c r="H1183" s="24" t="s">
        <v>10</v>
      </c>
      <c r="J1183" s="31"/>
      <c r="K1183" s="31"/>
    </row>
    <row r="1184" spans="1:16">
      <c r="A1184" s="18"/>
      <c r="B1184" s="29"/>
      <c r="C1184" s="48"/>
      <c r="D1184" s="48"/>
      <c r="E1184" s="48"/>
      <c r="F1184" s="1"/>
      <c r="G1184" s="33"/>
      <c r="H1184" s="24"/>
      <c r="J1184" s="31"/>
      <c r="K1184" s="31"/>
    </row>
    <row r="1185" spans="1:11">
      <c r="A1185" s="18"/>
      <c r="B1185" s="29"/>
      <c r="C1185" s="48"/>
      <c r="D1185" s="48"/>
      <c r="E1185" s="48"/>
      <c r="F1185" s="34" t="s">
        <v>11</v>
      </c>
      <c r="G1185" s="53">
        <f>SUM(G1181:G1184)</f>
        <v>34.545000000000002</v>
      </c>
      <c r="H1185" s="50" t="s">
        <v>17</v>
      </c>
      <c r="J1185" s="31"/>
      <c r="K1185" s="31"/>
    </row>
    <row r="1186" spans="1:11">
      <c r="A1186" s="18"/>
      <c r="B1186" s="29"/>
      <c r="C1186" s="48"/>
      <c r="D1186" s="48"/>
      <c r="E1186" s="48"/>
      <c r="F1186" s="56" t="s">
        <v>13</v>
      </c>
      <c r="G1186" s="27">
        <f>ROUNDUP(G1185,0)</f>
        <v>35</v>
      </c>
      <c r="H1186" s="28" t="s">
        <v>17</v>
      </c>
      <c r="J1186" s="31"/>
      <c r="K1186" s="31"/>
    </row>
    <row r="1187" spans="1:11">
      <c r="A1187" s="18"/>
      <c r="B1187" s="29"/>
      <c r="C1187" s="48"/>
      <c r="D1187" s="48"/>
      <c r="E1187" s="48"/>
      <c r="F1187" s="1"/>
      <c r="G1187" s="33"/>
      <c r="H1187" s="24"/>
      <c r="J1187" s="31"/>
      <c r="K1187" s="31"/>
    </row>
    <row r="1188" spans="1:11">
      <c r="A1188" s="18"/>
      <c r="B1188" s="15" t="s">
        <v>57</v>
      </c>
      <c r="C1188" s="48"/>
      <c r="D1188" s="48"/>
      <c r="E1188" s="48"/>
      <c r="F1188" s="1"/>
      <c r="G1188" s="33"/>
      <c r="H1188" s="24"/>
      <c r="J1188" s="31"/>
      <c r="K1188" s="31"/>
    </row>
    <row r="1189" spans="1:11">
      <c r="A1189" s="18"/>
      <c r="B1189" s="46" t="s">
        <v>460</v>
      </c>
      <c r="C1189" s="1">
        <v>5</v>
      </c>
      <c r="D1189" s="5">
        <v>1.35</v>
      </c>
      <c r="E1189" s="68"/>
      <c r="F1189" s="5">
        <v>2.4500000000000002</v>
      </c>
      <c r="G1189" s="2">
        <f>C1189*D1189*F1189</f>
        <v>16.537500000000001</v>
      </c>
      <c r="H1189" s="1" t="s">
        <v>17</v>
      </c>
      <c r="J1189" s="31"/>
      <c r="K1189" s="31"/>
    </row>
    <row r="1190" spans="1:11">
      <c r="A1190" s="18"/>
      <c r="B1190" s="46" t="s">
        <v>97</v>
      </c>
      <c r="C1190" s="1">
        <v>2</v>
      </c>
      <c r="D1190" s="5">
        <v>1.05</v>
      </c>
      <c r="E1190" s="68"/>
      <c r="F1190" s="5">
        <v>2.4500000000000002</v>
      </c>
      <c r="G1190" s="2">
        <f>C1190*D1190*F1190</f>
        <v>5.1450000000000005</v>
      </c>
      <c r="H1190" s="1" t="s">
        <v>10</v>
      </c>
      <c r="J1190" s="31"/>
      <c r="K1190" s="31"/>
    </row>
    <row r="1191" spans="1:11">
      <c r="A1191" s="18"/>
      <c r="B1191" s="46" t="s">
        <v>98</v>
      </c>
      <c r="C1191" s="1">
        <v>3</v>
      </c>
      <c r="D1191" s="5">
        <v>0.9</v>
      </c>
      <c r="E1191" s="5"/>
      <c r="F1191" s="5">
        <v>2.4500000000000002</v>
      </c>
      <c r="G1191" s="2">
        <f>C1191*D1191*F1191</f>
        <v>6.6150000000000011</v>
      </c>
      <c r="H1191" s="1" t="s">
        <v>10</v>
      </c>
      <c r="J1191" s="31"/>
      <c r="K1191" s="31"/>
    </row>
    <row r="1192" spans="1:11">
      <c r="A1192" s="18"/>
      <c r="B1192" s="29"/>
      <c r="C1192" s="48"/>
      <c r="D1192" s="48"/>
      <c r="E1192" s="48"/>
      <c r="F1192" s="1"/>
      <c r="G1192" s="33"/>
      <c r="H1192" s="24"/>
      <c r="J1192" s="31"/>
      <c r="K1192" s="31"/>
    </row>
    <row r="1193" spans="1:11">
      <c r="A1193" s="18"/>
      <c r="B1193" s="29"/>
      <c r="C1193" s="48"/>
      <c r="D1193" s="48"/>
      <c r="E1193" s="48"/>
      <c r="F1193" s="34" t="s">
        <v>11</v>
      </c>
      <c r="G1193" s="53">
        <f>SUM(G1189:G1192)</f>
        <v>28.297500000000003</v>
      </c>
      <c r="H1193" s="50" t="s">
        <v>17</v>
      </c>
      <c r="J1193" s="31"/>
      <c r="K1193" s="31"/>
    </row>
    <row r="1194" spans="1:11">
      <c r="A1194" s="18"/>
      <c r="B1194" s="29"/>
      <c r="C1194" s="48"/>
      <c r="D1194" s="48"/>
      <c r="E1194" s="48"/>
      <c r="F1194" s="56" t="s">
        <v>13</v>
      </c>
      <c r="G1194" s="27">
        <f>ROUNDUP(G1193,0)</f>
        <v>29</v>
      </c>
      <c r="H1194" s="28" t="s">
        <v>17</v>
      </c>
      <c r="J1194" s="31"/>
      <c r="K1194" s="31"/>
    </row>
    <row r="1195" spans="1:11">
      <c r="A1195" s="18"/>
      <c r="B1195" s="29"/>
      <c r="C1195" s="48"/>
      <c r="D1195" s="48"/>
      <c r="E1195" s="48"/>
      <c r="F1195" s="1"/>
      <c r="G1195" s="33"/>
      <c r="H1195" s="24"/>
      <c r="J1195" s="31"/>
      <c r="K1195" s="31"/>
    </row>
    <row r="1196" spans="1:11">
      <c r="A1196" s="18">
        <f>A1175+1</f>
        <v>36</v>
      </c>
      <c r="B1196" s="19" t="s">
        <v>60</v>
      </c>
      <c r="C1196" s="48"/>
      <c r="D1196" s="48"/>
      <c r="E1196" s="48"/>
      <c r="F1196" s="1"/>
      <c r="G1196" s="33"/>
      <c r="H1196" s="24"/>
      <c r="J1196" s="31"/>
      <c r="K1196" s="31"/>
    </row>
    <row r="1197" spans="1:11">
      <c r="A1197" s="18"/>
      <c r="B1197" s="15" t="s">
        <v>56</v>
      </c>
      <c r="C1197" s="48"/>
      <c r="D1197" s="48"/>
      <c r="E1197" s="48"/>
      <c r="F1197" s="1"/>
      <c r="G1197" s="33"/>
      <c r="H1197" s="24"/>
      <c r="J1197" s="31"/>
      <c r="K1197" s="31"/>
    </row>
    <row r="1198" spans="1:11">
      <c r="A1198" s="18"/>
      <c r="B1198" s="46" t="s">
        <v>99</v>
      </c>
      <c r="C1198" s="61">
        <v>5</v>
      </c>
      <c r="D1198" s="5">
        <f>0.75+2.15+2.15+0.3</f>
        <v>5.35</v>
      </c>
      <c r="E1198" s="68"/>
      <c r="F1198" s="5"/>
      <c r="G1198" s="2">
        <f>C1198*D1198</f>
        <v>26.75</v>
      </c>
      <c r="H1198" s="1" t="s">
        <v>49</v>
      </c>
      <c r="J1198" s="31"/>
      <c r="K1198" s="31"/>
    </row>
    <row r="1199" spans="1:11">
      <c r="A1199" s="18"/>
      <c r="B1199" s="29"/>
      <c r="C1199" s="48"/>
      <c r="D1199" s="48"/>
      <c r="E1199" s="48"/>
      <c r="F1199" s="56" t="s">
        <v>13</v>
      </c>
      <c r="G1199" s="27">
        <f>ROUNDUP(G1198,0)</f>
        <v>27</v>
      </c>
      <c r="H1199" s="28" t="s">
        <v>49</v>
      </c>
      <c r="J1199" s="31"/>
      <c r="K1199" s="31"/>
    </row>
    <row r="1200" spans="1:11">
      <c r="A1200" s="18"/>
      <c r="B1200" s="29"/>
      <c r="C1200" s="48"/>
      <c r="D1200" s="48"/>
      <c r="E1200" s="48"/>
      <c r="F1200" s="1"/>
      <c r="G1200" s="33"/>
      <c r="H1200" s="24"/>
      <c r="J1200" s="31"/>
      <c r="K1200" s="31"/>
    </row>
    <row r="1201" spans="1:11">
      <c r="A1201" s="18"/>
      <c r="B1201" s="15" t="s">
        <v>445</v>
      </c>
      <c r="C1201" s="48"/>
      <c r="D1201" s="48"/>
      <c r="E1201" s="48"/>
      <c r="F1201" s="1"/>
      <c r="G1201" s="33"/>
      <c r="H1201" s="24"/>
      <c r="J1201" s="31"/>
      <c r="K1201" s="31"/>
    </row>
    <row r="1202" spans="1:11">
      <c r="A1202" s="18"/>
      <c r="B1202" s="46" t="s">
        <v>99</v>
      </c>
      <c r="C1202" s="61">
        <v>18</v>
      </c>
      <c r="D1202" s="5">
        <f>0.75+2.15+2.15+0.3</f>
        <v>5.35</v>
      </c>
      <c r="E1202" s="68"/>
      <c r="F1202" s="5"/>
      <c r="G1202" s="2">
        <f>C1202*D1202</f>
        <v>96.3</v>
      </c>
      <c r="H1202" s="1" t="s">
        <v>49</v>
      </c>
      <c r="J1202" s="31"/>
      <c r="K1202" s="31"/>
    </row>
    <row r="1203" spans="1:11">
      <c r="A1203" s="18"/>
      <c r="B1203" s="29"/>
      <c r="C1203" s="48"/>
      <c r="D1203" s="48"/>
      <c r="E1203" s="48"/>
      <c r="F1203" s="56" t="s">
        <v>13</v>
      </c>
      <c r="G1203" s="27">
        <f>ROUNDUP(G1202,0)</f>
        <v>97</v>
      </c>
      <c r="H1203" s="28" t="s">
        <v>49</v>
      </c>
      <c r="J1203" s="31"/>
      <c r="K1203" s="31"/>
    </row>
    <row r="1204" spans="1:11">
      <c r="A1204" s="18"/>
      <c r="B1204" s="29"/>
      <c r="C1204" s="48"/>
      <c r="D1204" s="48"/>
      <c r="E1204" s="48"/>
      <c r="F1204" s="1"/>
      <c r="G1204" s="33"/>
      <c r="H1204" s="24"/>
      <c r="J1204" s="31"/>
      <c r="K1204" s="31"/>
    </row>
    <row r="1205" spans="1:11">
      <c r="A1205" s="18"/>
      <c r="B1205" s="15" t="s">
        <v>57</v>
      </c>
      <c r="C1205" s="48"/>
      <c r="D1205" s="48"/>
      <c r="E1205" s="48"/>
      <c r="F1205" s="1"/>
      <c r="G1205" s="33"/>
      <c r="H1205" s="24"/>
      <c r="J1205" s="31"/>
      <c r="K1205" s="31"/>
    </row>
    <row r="1206" spans="1:11">
      <c r="A1206" s="18"/>
      <c r="B1206" s="46" t="s">
        <v>99</v>
      </c>
      <c r="C1206" s="61">
        <v>12</v>
      </c>
      <c r="D1206" s="5">
        <f>0.75+2.15+2.15+0.3</f>
        <v>5.35</v>
      </c>
      <c r="E1206" s="68"/>
      <c r="F1206" s="5"/>
      <c r="G1206" s="2">
        <f>C1206*D1206</f>
        <v>64.199999999999989</v>
      </c>
      <c r="H1206" s="1" t="s">
        <v>49</v>
      </c>
      <c r="J1206" s="31"/>
      <c r="K1206" s="31"/>
    </row>
    <row r="1207" spans="1:11">
      <c r="A1207" s="18"/>
      <c r="B1207" s="29"/>
      <c r="C1207" s="48"/>
      <c r="D1207" s="48"/>
      <c r="E1207" s="48"/>
      <c r="F1207" s="56" t="s">
        <v>13</v>
      </c>
      <c r="G1207" s="27">
        <f>ROUNDUP(G1206,0)</f>
        <v>65</v>
      </c>
      <c r="H1207" s="28" t="s">
        <v>49</v>
      </c>
      <c r="J1207" s="31"/>
      <c r="K1207" s="31"/>
    </row>
    <row r="1208" spans="1:11">
      <c r="A1208" s="18"/>
      <c r="B1208" s="29"/>
      <c r="C1208" s="48"/>
      <c r="D1208" s="48"/>
      <c r="E1208" s="48"/>
      <c r="F1208" s="1"/>
      <c r="G1208" s="33"/>
      <c r="H1208" s="24"/>
      <c r="J1208" s="31"/>
      <c r="K1208" s="31"/>
    </row>
    <row r="1209" spans="1:11">
      <c r="A1209" s="18">
        <f>A1196+1</f>
        <v>37</v>
      </c>
      <c r="B1209" s="19" t="s">
        <v>127</v>
      </c>
      <c r="C1209" s="48"/>
      <c r="D1209" s="48"/>
      <c r="E1209" s="48"/>
      <c r="F1209" s="1"/>
      <c r="G1209" s="33"/>
      <c r="H1209" s="24"/>
      <c r="J1209" s="31"/>
      <c r="K1209" s="31"/>
    </row>
    <row r="1210" spans="1:11">
      <c r="A1210" s="18"/>
      <c r="B1210" s="15" t="s">
        <v>56</v>
      </c>
      <c r="C1210" s="48"/>
      <c r="D1210" s="48"/>
      <c r="E1210" s="48"/>
      <c r="F1210" s="1"/>
      <c r="G1210" s="33"/>
      <c r="H1210" s="24"/>
      <c r="J1210" s="31"/>
      <c r="K1210" s="31"/>
    </row>
    <row r="1211" spans="1:11">
      <c r="A1211" s="18"/>
      <c r="B1211" s="46" t="s">
        <v>99</v>
      </c>
      <c r="C1211" s="61">
        <v>5</v>
      </c>
      <c r="D1211" s="5">
        <v>0.75</v>
      </c>
      <c r="E1211" s="68"/>
      <c r="F1211" s="5">
        <v>2.15</v>
      </c>
      <c r="G1211" s="2">
        <f>C1211*D1211*F1211</f>
        <v>8.0625</v>
      </c>
      <c r="H1211" s="1" t="s">
        <v>17</v>
      </c>
      <c r="J1211" s="31"/>
      <c r="K1211" s="31"/>
    </row>
    <row r="1212" spans="1:11">
      <c r="A1212" s="18"/>
      <c r="B1212" s="29"/>
      <c r="C1212" s="48"/>
      <c r="D1212" s="48"/>
      <c r="E1212" s="48"/>
      <c r="F1212" s="56" t="s">
        <v>13</v>
      </c>
      <c r="G1212" s="27">
        <f>ROUNDUP(G1211,0)</f>
        <v>9</v>
      </c>
      <c r="H1212" s="28" t="s">
        <v>17</v>
      </c>
      <c r="J1212" s="31"/>
      <c r="K1212" s="31"/>
    </row>
    <row r="1213" spans="1:11">
      <c r="A1213" s="18"/>
      <c r="B1213" s="29"/>
      <c r="C1213" s="48"/>
      <c r="D1213" s="48"/>
      <c r="E1213" s="48"/>
      <c r="F1213" s="1"/>
      <c r="G1213" s="33"/>
      <c r="H1213" s="24"/>
      <c r="J1213" s="31"/>
      <c r="K1213" s="31"/>
    </row>
    <row r="1214" spans="1:11">
      <c r="A1214" s="18"/>
      <c r="B1214" s="15" t="s">
        <v>445</v>
      </c>
      <c r="C1214" s="48"/>
      <c r="D1214" s="48"/>
      <c r="E1214" s="48"/>
      <c r="F1214" s="1"/>
      <c r="G1214" s="33"/>
      <c r="H1214" s="24"/>
      <c r="J1214" s="31"/>
      <c r="K1214" s="31"/>
    </row>
    <row r="1215" spans="1:11">
      <c r="A1215" s="18"/>
      <c r="B1215" s="46" t="s">
        <v>99</v>
      </c>
      <c r="C1215" s="61">
        <v>18</v>
      </c>
      <c r="D1215" s="5">
        <v>0.75</v>
      </c>
      <c r="E1215" s="68"/>
      <c r="F1215" s="5">
        <v>2.15</v>
      </c>
      <c r="G1215" s="2">
        <f>C1215*D1215*F1215</f>
        <v>29.024999999999999</v>
      </c>
      <c r="H1215" s="1" t="s">
        <v>17</v>
      </c>
      <c r="J1215" s="31"/>
      <c r="K1215" s="31"/>
    </row>
    <row r="1216" spans="1:11">
      <c r="A1216" s="18"/>
      <c r="B1216" s="29"/>
      <c r="C1216" s="48"/>
      <c r="D1216" s="48"/>
      <c r="E1216" s="48"/>
      <c r="F1216" s="56" t="s">
        <v>13</v>
      </c>
      <c r="G1216" s="27">
        <f>ROUNDUP(G1215,0)</f>
        <v>30</v>
      </c>
      <c r="H1216" s="28" t="s">
        <v>17</v>
      </c>
      <c r="J1216" s="31"/>
      <c r="K1216" s="31"/>
    </row>
    <row r="1217" spans="1:16">
      <c r="A1217" s="18"/>
      <c r="B1217" s="29"/>
      <c r="C1217" s="48"/>
      <c r="D1217" s="48"/>
      <c r="E1217" s="48"/>
      <c r="F1217" s="1"/>
      <c r="G1217" s="33"/>
      <c r="H1217" s="24"/>
      <c r="J1217" s="31"/>
      <c r="K1217" s="31"/>
    </row>
    <row r="1218" spans="1:16">
      <c r="A1218" s="18"/>
      <c r="B1218" s="15" t="s">
        <v>57</v>
      </c>
      <c r="C1218" s="48"/>
      <c r="D1218" s="48"/>
      <c r="E1218" s="48"/>
      <c r="F1218" s="1"/>
      <c r="G1218" s="33"/>
      <c r="H1218" s="24"/>
      <c r="J1218" s="31"/>
      <c r="K1218" s="31"/>
    </row>
    <row r="1219" spans="1:16">
      <c r="A1219" s="18"/>
      <c r="B1219" s="46" t="s">
        <v>99</v>
      </c>
      <c r="C1219" s="61">
        <v>12</v>
      </c>
      <c r="D1219" s="5">
        <v>0.75</v>
      </c>
      <c r="E1219" s="68"/>
      <c r="F1219" s="5">
        <v>2.15</v>
      </c>
      <c r="G1219" s="2">
        <f>C1219*D1219*F1219</f>
        <v>19.349999999999998</v>
      </c>
      <c r="H1219" s="1" t="s">
        <v>17</v>
      </c>
      <c r="J1219" s="31"/>
      <c r="K1219" s="31"/>
    </row>
    <row r="1220" spans="1:16">
      <c r="A1220" s="18"/>
      <c r="B1220" s="29"/>
      <c r="C1220" s="48"/>
      <c r="D1220" s="48"/>
      <c r="E1220" s="48"/>
      <c r="F1220" s="56" t="s">
        <v>13</v>
      </c>
      <c r="G1220" s="27">
        <f>ROUNDUP(G1219,0)</f>
        <v>20</v>
      </c>
      <c r="H1220" s="28" t="s">
        <v>17</v>
      </c>
      <c r="J1220" s="31"/>
      <c r="K1220" s="31"/>
    </row>
    <row r="1221" spans="1:16">
      <c r="A1221" s="18"/>
      <c r="B1221" s="29"/>
      <c r="C1221" s="48"/>
      <c r="D1221" s="48"/>
      <c r="E1221" s="48"/>
      <c r="F1221" s="1"/>
      <c r="G1221" s="33"/>
      <c r="H1221" s="24"/>
      <c r="J1221" s="31"/>
      <c r="K1221" s="31"/>
    </row>
    <row r="1222" spans="1:16">
      <c r="A1222" s="18">
        <f>A1209+1</f>
        <v>38</v>
      </c>
      <c r="B1222" s="9" t="s">
        <v>219</v>
      </c>
      <c r="C1222" s="48"/>
      <c r="D1222" s="48"/>
      <c r="E1222" s="48"/>
      <c r="F1222" s="1"/>
      <c r="G1222" s="33"/>
      <c r="H1222" s="24"/>
      <c r="J1222" s="31"/>
      <c r="K1222" s="31"/>
    </row>
    <row r="1223" spans="1:16">
      <c r="A1223" s="18"/>
      <c r="B1223" s="15" t="s">
        <v>56</v>
      </c>
      <c r="C1223" s="48"/>
      <c r="D1223" s="48"/>
      <c r="E1223" s="48"/>
      <c r="F1223" s="1"/>
      <c r="G1223" s="33"/>
      <c r="H1223" s="24"/>
      <c r="J1223" s="31"/>
      <c r="K1223" s="31"/>
    </row>
    <row r="1224" spans="1:16">
      <c r="A1224" s="18"/>
      <c r="B1224" s="46" t="s">
        <v>109</v>
      </c>
      <c r="C1224" s="61">
        <v>1</v>
      </c>
      <c r="D1224" s="5">
        <v>2.4</v>
      </c>
      <c r="E1224" s="68"/>
      <c r="F1224" s="5">
        <v>2.4500000000000002</v>
      </c>
      <c r="G1224" s="2">
        <f>C1224*D1224*F1224</f>
        <v>5.88</v>
      </c>
      <c r="H1224" s="1" t="s">
        <v>17</v>
      </c>
      <c r="J1224" s="31"/>
      <c r="K1224" s="31"/>
    </row>
    <row r="1225" spans="1:16">
      <c r="A1225" s="18"/>
      <c r="B1225" s="46" t="s">
        <v>100</v>
      </c>
      <c r="C1225" s="1">
        <v>9</v>
      </c>
      <c r="D1225" s="5">
        <v>1.8</v>
      </c>
      <c r="E1225" s="5"/>
      <c r="F1225" s="5">
        <v>1.5</v>
      </c>
      <c r="G1225" s="4">
        <f>C1225*D1225*F1225</f>
        <v>24.299999999999997</v>
      </c>
      <c r="H1225" s="1" t="s">
        <v>17</v>
      </c>
      <c r="J1225" s="46"/>
      <c r="K1225" s="1"/>
      <c r="L1225" s="5"/>
      <c r="M1225" s="5"/>
      <c r="N1225" s="5"/>
      <c r="O1225" s="4"/>
      <c r="P1225" s="1"/>
    </row>
    <row r="1226" spans="1:16">
      <c r="A1226" s="18"/>
      <c r="B1226" s="46" t="s">
        <v>457</v>
      </c>
      <c r="C1226" s="1">
        <v>2</v>
      </c>
      <c r="D1226" s="5">
        <v>0.6</v>
      </c>
      <c r="E1226" s="5"/>
      <c r="F1226" s="5">
        <v>1.5</v>
      </c>
      <c r="G1226" s="4">
        <f t="shared" ref="G1226:G1232" si="86">C1226*D1226*F1226</f>
        <v>1.7999999999999998</v>
      </c>
      <c r="H1226" s="1" t="s">
        <v>10</v>
      </c>
      <c r="J1226" s="46"/>
      <c r="K1226" s="1"/>
      <c r="L1226" s="5"/>
      <c r="M1226" s="5"/>
      <c r="N1226" s="5"/>
      <c r="O1226" s="4"/>
      <c r="P1226" s="1"/>
    </row>
    <row r="1227" spans="1:16">
      <c r="A1227" s="18"/>
      <c r="B1227" s="46" t="s">
        <v>447</v>
      </c>
      <c r="C1227" s="1">
        <v>2</v>
      </c>
      <c r="D1227" s="5">
        <v>0.45</v>
      </c>
      <c r="E1227" s="5"/>
      <c r="F1227" s="5">
        <v>2.4500000000000002</v>
      </c>
      <c r="G1227" s="4">
        <f t="shared" si="86"/>
        <v>2.2050000000000001</v>
      </c>
      <c r="H1227" s="1" t="s">
        <v>10</v>
      </c>
      <c r="J1227" s="46"/>
      <c r="K1227" s="1"/>
      <c r="L1227" s="5"/>
      <c r="M1227" s="5"/>
      <c r="N1227" s="5"/>
      <c r="O1227" s="4"/>
      <c r="P1227" s="1"/>
    </row>
    <row r="1228" spans="1:16">
      <c r="A1228" s="18"/>
      <c r="B1228" s="46" t="s">
        <v>103</v>
      </c>
      <c r="C1228" s="1">
        <v>11</v>
      </c>
      <c r="D1228" s="5">
        <v>1.8</v>
      </c>
      <c r="E1228" s="5"/>
      <c r="F1228" s="5">
        <v>0.75</v>
      </c>
      <c r="G1228" s="4">
        <f t="shared" si="86"/>
        <v>14.850000000000001</v>
      </c>
      <c r="H1228" s="1" t="s">
        <v>10</v>
      </c>
      <c r="J1228" s="46"/>
      <c r="K1228" s="1"/>
      <c r="L1228" s="5"/>
      <c r="M1228" s="5"/>
      <c r="N1228" s="5"/>
      <c r="O1228" s="4"/>
      <c r="P1228" s="1"/>
    </row>
    <row r="1229" spans="1:16">
      <c r="A1229" s="18"/>
      <c r="B1229" s="46" t="s">
        <v>104</v>
      </c>
      <c r="C1229" s="1">
        <v>2</v>
      </c>
      <c r="D1229" s="5">
        <v>1.5</v>
      </c>
      <c r="E1229" s="5"/>
      <c r="F1229" s="5">
        <v>0.75</v>
      </c>
      <c r="G1229" s="4">
        <f t="shared" si="86"/>
        <v>2.25</v>
      </c>
      <c r="H1229" s="1" t="s">
        <v>10</v>
      </c>
      <c r="J1229" s="46"/>
      <c r="K1229" s="1"/>
      <c r="L1229" s="5"/>
      <c r="M1229" s="5"/>
      <c r="N1229" s="5"/>
      <c r="O1229" s="4"/>
      <c r="P1229" s="1"/>
    </row>
    <row r="1230" spans="1:16">
      <c r="A1230" s="18"/>
      <c r="B1230" s="46" t="s">
        <v>105</v>
      </c>
      <c r="C1230" s="1">
        <v>2</v>
      </c>
      <c r="D1230" s="5">
        <v>1.2</v>
      </c>
      <c r="E1230" s="5"/>
      <c r="F1230" s="5">
        <v>0.75</v>
      </c>
      <c r="G1230" s="4">
        <f t="shared" si="86"/>
        <v>1.7999999999999998</v>
      </c>
      <c r="H1230" s="1" t="s">
        <v>10</v>
      </c>
      <c r="J1230" s="46"/>
      <c r="K1230" s="1"/>
      <c r="L1230" s="5"/>
      <c r="M1230" s="5"/>
      <c r="N1230" s="5"/>
      <c r="O1230" s="4"/>
      <c r="P1230" s="1"/>
    </row>
    <row r="1231" spans="1:16">
      <c r="A1231" s="18"/>
      <c r="B1231" s="46" t="s">
        <v>444</v>
      </c>
      <c r="C1231" s="1">
        <v>1</v>
      </c>
      <c r="D1231" s="5">
        <v>1.2</v>
      </c>
      <c r="E1231" s="5"/>
      <c r="F1231" s="5">
        <v>0.6</v>
      </c>
      <c r="G1231" s="4">
        <f t="shared" si="86"/>
        <v>0.72</v>
      </c>
      <c r="H1231" s="1" t="s">
        <v>10</v>
      </c>
      <c r="J1231" s="46"/>
      <c r="K1231" s="1"/>
      <c r="L1231" s="5"/>
      <c r="M1231" s="5"/>
      <c r="N1231" s="5"/>
      <c r="O1231" s="4"/>
      <c r="P1231" s="1"/>
    </row>
    <row r="1232" spans="1:16">
      <c r="A1232" s="18"/>
      <c r="B1232" s="46" t="s">
        <v>108</v>
      </c>
      <c r="C1232" s="1">
        <v>5</v>
      </c>
      <c r="D1232" s="5">
        <v>0.6</v>
      </c>
      <c r="E1232" s="5"/>
      <c r="F1232" s="83">
        <v>0.6</v>
      </c>
      <c r="G1232" s="4">
        <f t="shared" si="86"/>
        <v>1.7999999999999998</v>
      </c>
      <c r="H1232" s="1" t="s">
        <v>10</v>
      </c>
      <c r="J1232" s="46"/>
      <c r="K1232" s="1"/>
      <c r="L1232" s="5"/>
      <c r="M1232" s="5"/>
      <c r="N1232" s="83"/>
      <c r="O1232" s="4"/>
      <c r="P1232" s="1"/>
    </row>
    <row r="1233" spans="1:17">
      <c r="A1233" s="18"/>
      <c r="B1233" s="46"/>
      <c r="C1233" s="1"/>
      <c r="D1233" s="5"/>
      <c r="E1233" s="5"/>
      <c r="F1233" s="5"/>
      <c r="G1233" s="4"/>
      <c r="H1233" s="1"/>
      <c r="J1233" s="31"/>
      <c r="K1233" s="31"/>
    </row>
    <row r="1234" spans="1:17">
      <c r="A1234" s="18"/>
      <c r="B1234" s="9"/>
      <c r="C1234" s="1"/>
      <c r="D1234" s="5"/>
      <c r="E1234" s="5"/>
      <c r="F1234" s="34" t="s">
        <v>11</v>
      </c>
      <c r="G1234" s="53">
        <f>SUM(G1224:G1233)</f>
        <v>55.60499999999999</v>
      </c>
      <c r="H1234" s="50" t="s">
        <v>17</v>
      </c>
      <c r="I1234" s="9"/>
      <c r="J1234" s="31"/>
      <c r="K1234" s="31"/>
    </row>
    <row r="1235" spans="1:17">
      <c r="A1235" s="18"/>
      <c r="C1235" s="1"/>
      <c r="D1235" s="1"/>
      <c r="E1235" s="1"/>
      <c r="F1235" s="5" t="s">
        <v>395</v>
      </c>
      <c r="G1235" s="4">
        <f>G1234*7.5</f>
        <v>417.03749999999991</v>
      </c>
      <c r="H1235" s="1" t="s">
        <v>24</v>
      </c>
      <c r="I1235" s="9"/>
      <c r="J1235" s="31"/>
      <c r="K1235" s="31"/>
    </row>
    <row r="1236" spans="1:17">
      <c r="A1236" s="18"/>
      <c r="B1236" s="29"/>
      <c r="C1236" s="48"/>
      <c r="D1236" s="48"/>
      <c r="E1236" s="48"/>
      <c r="F1236" s="56" t="s">
        <v>13</v>
      </c>
      <c r="G1236" s="27">
        <f>ROUNDUP(G1235,0)</f>
        <v>418</v>
      </c>
      <c r="H1236" s="28" t="s">
        <v>24</v>
      </c>
      <c r="I1236" s="9"/>
      <c r="J1236" s="31"/>
      <c r="K1236" s="31"/>
    </row>
    <row r="1237" spans="1:17">
      <c r="A1237" s="18"/>
      <c r="B1237" s="29"/>
      <c r="C1237" s="48"/>
      <c r="D1237" s="48"/>
      <c r="E1237" s="48"/>
      <c r="F1237" s="1"/>
      <c r="G1237" s="33"/>
      <c r="H1237" s="24"/>
      <c r="J1237" s="31"/>
      <c r="K1237" s="31"/>
    </row>
    <row r="1238" spans="1:17">
      <c r="A1238" s="18"/>
      <c r="B1238" s="15" t="s">
        <v>445</v>
      </c>
      <c r="C1238" s="48"/>
      <c r="D1238" s="48"/>
      <c r="E1238" s="48"/>
      <c r="F1238" s="1"/>
      <c r="G1238" s="33"/>
      <c r="H1238" s="24"/>
      <c r="J1238" s="46"/>
      <c r="K1238" s="1"/>
      <c r="L1238" s="5"/>
      <c r="M1238" s="1"/>
      <c r="N1238" s="5"/>
      <c r="O1238" s="4"/>
    </row>
    <row r="1239" spans="1:17">
      <c r="A1239" s="18"/>
      <c r="B1239" s="46" t="s">
        <v>100</v>
      </c>
      <c r="C1239" s="1">
        <v>4</v>
      </c>
      <c r="D1239" s="5">
        <v>1.8</v>
      </c>
      <c r="E1239" s="1"/>
      <c r="F1239" s="5">
        <v>1.5</v>
      </c>
      <c r="G1239" s="4">
        <f>C1239*D1239*F1239</f>
        <v>10.8</v>
      </c>
      <c r="H1239" s="1" t="s">
        <v>17</v>
      </c>
      <c r="J1239" s="46"/>
      <c r="K1239" s="1"/>
      <c r="L1239" s="5"/>
      <c r="M1239" s="1"/>
      <c r="N1239" s="5"/>
      <c r="O1239" s="4"/>
    </row>
    <row r="1240" spans="1:17">
      <c r="A1240" s="18"/>
      <c r="B1240" s="46" t="s">
        <v>102</v>
      </c>
      <c r="C1240" s="1">
        <v>2</v>
      </c>
      <c r="D1240" s="5">
        <v>1.2</v>
      </c>
      <c r="E1240" s="1"/>
      <c r="F1240" s="5">
        <v>1.5</v>
      </c>
      <c r="G1240" s="4">
        <f t="shared" ref="G1240:G1247" si="87">C1240*D1240*F1240</f>
        <v>3.5999999999999996</v>
      </c>
      <c r="H1240" s="1" t="s">
        <v>10</v>
      </c>
      <c r="J1240" s="46"/>
      <c r="K1240" s="1"/>
      <c r="L1240" s="5"/>
      <c r="M1240" s="1"/>
      <c r="N1240" s="5"/>
      <c r="O1240" s="4"/>
    </row>
    <row r="1241" spans="1:17">
      <c r="A1241" s="18"/>
      <c r="B1241" s="46" t="s">
        <v>446</v>
      </c>
      <c r="C1241" s="1">
        <v>2</v>
      </c>
      <c r="D1241" s="5">
        <v>1.2</v>
      </c>
      <c r="E1241" s="1"/>
      <c r="F1241" s="5">
        <v>1.5</v>
      </c>
      <c r="G1241" s="4">
        <f t="shared" si="87"/>
        <v>3.5999999999999996</v>
      </c>
      <c r="H1241" s="1" t="s">
        <v>10</v>
      </c>
      <c r="J1241" s="46"/>
      <c r="K1241" s="1"/>
      <c r="L1241" s="5"/>
      <c r="M1241" s="1"/>
      <c r="N1241" s="5"/>
      <c r="O1241" s="4"/>
      <c r="Q1241" s="1" t="s">
        <v>10</v>
      </c>
    </row>
    <row r="1242" spans="1:17">
      <c r="A1242" s="18"/>
      <c r="B1242" s="46" t="s">
        <v>447</v>
      </c>
      <c r="C1242" s="1">
        <v>2</v>
      </c>
      <c r="D1242" s="5">
        <v>0.45</v>
      </c>
      <c r="E1242" s="1"/>
      <c r="F1242" s="5">
        <v>2.4500000000000002</v>
      </c>
      <c r="G1242" s="4">
        <f t="shared" si="87"/>
        <v>2.2050000000000001</v>
      </c>
      <c r="H1242" s="1" t="s">
        <v>10</v>
      </c>
      <c r="J1242" s="46"/>
      <c r="K1242" s="1"/>
      <c r="L1242" s="5"/>
      <c r="M1242" s="1"/>
      <c r="N1242" s="5"/>
      <c r="O1242" s="4"/>
      <c r="Q1242" s="1" t="s">
        <v>10</v>
      </c>
    </row>
    <row r="1243" spans="1:17">
      <c r="A1243" s="18"/>
      <c r="B1243" s="46" t="s">
        <v>103</v>
      </c>
      <c r="C1243" s="1">
        <v>16</v>
      </c>
      <c r="D1243" s="5">
        <v>1.8</v>
      </c>
      <c r="E1243" s="1"/>
      <c r="F1243" s="5">
        <v>0.75</v>
      </c>
      <c r="G1243" s="4">
        <f t="shared" si="87"/>
        <v>21.6</v>
      </c>
      <c r="H1243" s="1" t="s">
        <v>10</v>
      </c>
      <c r="J1243" s="46"/>
      <c r="K1243" s="1"/>
      <c r="L1243" s="5"/>
      <c r="M1243" s="1"/>
      <c r="N1243" s="5"/>
      <c r="O1243" s="4"/>
      <c r="Q1243" s="1" t="s">
        <v>10</v>
      </c>
    </row>
    <row r="1244" spans="1:17">
      <c r="A1244" s="18"/>
      <c r="B1244" s="46" t="s">
        <v>448</v>
      </c>
      <c r="C1244" s="1">
        <v>7</v>
      </c>
      <c r="D1244" s="5">
        <v>1.8</v>
      </c>
      <c r="E1244" s="1"/>
      <c r="F1244" s="5">
        <v>0.75</v>
      </c>
      <c r="G1244" s="4">
        <f t="shared" si="87"/>
        <v>9.4499999999999993</v>
      </c>
      <c r="H1244" s="1" t="s">
        <v>10</v>
      </c>
      <c r="J1244" s="46"/>
      <c r="K1244" s="1"/>
      <c r="L1244" s="5"/>
      <c r="M1244" s="1"/>
      <c r="N1244" s="5"/>
      <c r="O1244" s="4"/>
      <c r="Q1244" s="1" t="s">
        <v>10</v>
      </c>
    </row>
    <row r="1245" spans="1:17">
      <c r="A1245" s="18"/>
      <c r="B1245" s="46" t="s">
        <v>106</v>
      </c>
      <c r="C1245" s="1">
        <v>3</v>
      </c>
      <c r="D1245" s="5">
        <v>0.9</v>
      </c>
      <c r="E1245" s="1"/>
      <c r="F1245" s="5">
        <v>0.6</v>
      </c>
      <c r="G1245" s="4">
        <f t="shared" si="87"/>
        <v>1.62</v>
      </c>
      <c r="H1245" s="1" t="s">
        <v>10</v>
      </c>
      <c r="J1245" s="46"/>
      <c r="K1245" s="1"/>
      <c r="L1245" s="5"/>
      <c r="M1245" s="1"/>
      <c r="N1245" s="5"/>
      <c r="O1245" s="4"/>
      <c r="Q1245" s="1" t="s">
        <v>10</v>
      </c>
    </row>
    <row r="1246" spans="1:17">
      <c r="A1246" s="18"/>
      <c r="B1246" s="46" t="s">
        <v>107</v>
      </c>
      <c r="C1246" s="1">
        <v>5</v>
      </c>
      <c r="D1246" s="5">
        <v>0.75</v>
      </c>
      <c r="E1246" s="1"/>
      <c r="F1246" s="5">
        <v>0.6</v>
      </c>
      <c r="G1246" s="4">
        <f t="shared" si="87"/>
        <v>2.25</v>
      </c>
      <c r="H1246" s="1" t="s">
        <v>10</v>
      </c>
      <c r="J1246" s="46"/>
      <c r="K1246" s="1"/>
      <c r="L1246" s="5"/>
      <c r="M1246" s="1"/>
      <c r="N1246" s="5"/>
      <c r="O1246" s="4"/>
      <c r="Q1246" s="1" t="s">
        <v>10</v>
      </c>
    </row>
    <row r="1247" spans="1:17">
      <c r="A1247" s="18"/>
      <c r="B1247" s="46" t="s">
        <v>108</v>
      </c>
      <c r="C1247" s="1">
        <v>3</v>
      </c>
      <c r="D1247" s="5">
        <v>0.6</v>
      </c>
      <c r="E1247" s="1"/>
      <c r="F1247" s="5">
        <v>0.6</v>
      </c>
      <c r="G1247" s="4">
        <f t="shared" si="87"/>
        <v>1.0799999999999998</v>
      </c>
      <c r="H1247" s="1" t="s">
        <v>10</v>
      </c>
      <c r="J1247" s="46"/>
      <c r="K1247" s="1"/>
      <c r="L1247" s="5"/>
      <c r="M1247" s="1"/>
      <c r="N1247" s="5"/>
      <c r="O1247" s="4"/>
      <c r="Q1247" s="1"/>
    </row>
    <row r="1248" spans="1:17">
      <c r="A1248" s="18"/>
      <c r="B1248" s="46"/>
      <c r="C1248" s="1"/>
      <c r="D1248" s="5"/>
      <c r="E1248" s="5"/>
      <c r="F1248" s="5"/>
      <c r="G1248" s="4"/>
      <c r="H1248" s="1"/>
      <c r="J1248" s="46"/>
      <c r="K1248" s="1"/>
      <c r="L1248" s="5"/>
      <c r="M1248" s="1"/>
      <c r="N1248" s="5"/>
      <c r="O1248" s="4"/>
      <c r="Q1248" s="1"/>
    </row>
    <row r="1249" spans="1:17">
      <c r="A1249" s="18"/>
      <c r="B1249" s="9"/>
      <c r="C1249" s="1"/>
      <c r="D1249" s="5"/>
      <c r="E1249" s="5"/>
      <c r="F1249" s="34" t="s">
        <v>11</v>
      </c>
      <c r="G1249" s="53">
        <f>SUM(G1239:G1248)</f>
        <v>56.204999999999991</v>
      </c>
      <c r="H1249" s="50" t="s">
        <v>17</v>
      </c>
      <c r="J1249" s="31"/>
      <c r="K1249" s="31"/>
      <c r="Q1249" s="1" t="s">
        <v>10</v>
      </c>
    </row>
    <row r="1250" spans="1:17">
      <c r="A1250" s="18"/>
      <c r="C1250" s="1"/>
      <c r="D1250" s="1"/>
      <c r="E1250" s="1"/>
      <c r="F1250" s="5" t="s">
        <v>395</v>
      </c>
      <c r="G1250" s="4">
        <f>G1249*7.5</f>
        <v>421.53749999999991</v>
      </c>
      <c r="H1250" s="1" t="s">
        <v>24</v>
      </c>
      <c r="J1250" s="31"/>
      <c r="K1250" s="31"/>
      <c r="Q1250" s="1" t="s">
        <v>10</v>
      </c>
    </row>
    <row r="1251" spans="1:17">
      <c r="A1251" s="18"/>
      <c r="B1251" s="29"/>
      <c r="C1251" s="48"/>
      <c r="D1251" s="48"/>
      <c r="E1251" s="48"/>
      <c r="F1251" s="56" t="s">
        <v>13</v>
      </c>
      <c r="G1251" s="27">
        <f>ROUNDUP(G1250,0)</f>
        <v>422</v>
      </c>
      <c r="H1251" s="28" t="s">
        <v>24</v>
      </c>
      <c r="J1251" s="31"/>
      <c r="K1251" s="31"/>
    </row>
    <row r="1252" spans="1:17">
      <c r="A1252" s="18"/>
      <c r="B1252" s="29"/>
      <c r="C1252" s="48"/>
      <c r="D1252" s="48"/>
      <c r="E1252" s="48"/>
      <c r="F1252" s="1"/>
      <c r="G1252" s="33"/>
      <c r="H1252" s="24"/>
      <c r="J1252" s="31"/>
      <c r="K1252" s="31"/>
    </row>
    <row r="1253" spans="1:17">
      <c r="A1253" s="18"/>
      <c r="B1253" s="15" t="s">
        <v>57</v>
      </c>
      <c r="C1253" s="48"/>
      <c r="D1253" s="48"/>
      <c r="E1253" s="48"/>
      <c r="F1253" s="1"/>
      <c r="G1253" s="33"/>
      <c r="H1253" s="24"/>
      <c r="J1253" s="31"/>
      <c r="K1253" s="31"/>
    </row>
    <row r="1254" spans="1:17">
      <c r="A1254" s="18"/>
      <c r="B1254" s="46" t="s">
        <v>109</v>
      </c>
      <c r="C1254" s="61">
        <v>1</v>
      </c>
      <c r="D1254" s="5">
        <v>2.9</v>
      </c>
      <c r="E1254" s="68"/>
      <c r="F1254" s="5">
        <v>2.4500000000000002</v>
      </c>
      <c r="G1254" s="2">
        <f>C1254*D1254*F1254</f>
        <v>7.1050000000000004</v>
      </c>
      <c r="H1254" s="1" t="s">
        <v>17</v>
      </c>
      <c r="J1254" s="31"/>
      <c r="K1254" s="31"/>
    </row>
    <row r="1255" spans="1:17">
      <c r="A1255" s="18"/>
      <c r="B1255" s="46" t="s">
        <v>100</v>
      </c>
      <c r="C1255" s="1">
        <v>6</v>
      </c>
      <c r="D1255" s="5">
        <v>1.8</v>
      </c>
      <c r="E1255" s="1"/>
      <c r="F1255" s="5">
        <v>1.5</v>
      </c>
      <c r="G1255" s="4">
        <f>C1255*D1255*F1255</f>
        <v>16.200000000000003</v>
      </c>
      <c r="H1255" s="1" t="s">
        <v>17</v>
      </c>
      <c r="J1255" s="31"/>
      <c r="K1255" s="31"/>
    </row>
    <row r="1256" spans="1:17">
      <c r="A1256" s="18"/>
      <c r="B1256" s="46" t="s">
        <v>107</v>
      </c>
      <c r="C1256" s="1">
        <v>7</v>
      </c>
      <c r="D1256" s="5">
        <v>0.6</v>
      </c>
      <c r="E1256" s="1"/>
      <c r="F1256" s="5">
        <v>1.5</v>
      </c>
      <c r="G1256" s="4">
        <f t="shared" ref="G1256:G1260" si="88">C1256*D1256*F1256</f>
        <v>6.3000000000000007</v>
      </c>
      <c r="H1256" s="1" t="s">
        <v>10</v>
      </c>
      <c r="I1256" s="46"/>
      <c r="J1256" s="1"/>
      <c r="K1256" s="5"/>
      <c r="L1256" s="1"/>
      <c r="M1256" s="5"/>
      <c r="N1256" s="4"/>
      <c r="O1256" s="1"/>
    </row>
    <row r="1257" spans="1:17">
      <c r="A1257" s="18"/>
      <c r="B1257" s="46" t="s">
        <v>108</v>
      </c>
      <c r="C1257" s="1">
        <v>4</v>
      </c>
      <c r="D1257" s="5">
        <v>0.6</v>
      </c>
      <c r="E1257" s="1"/>
      <c r="F1257" s="5">
        <v>0.6</v>
      </c>
      <c r="G1257" s="4">
        <f t="shared" si="88"/>
        <v>1.44</v>
      </c>
      <c r="H1257" s="1" t="s">
        <v>10</v>
      </c>
      <c r="I1257" s="46"/>
      <c r="J1257" s="1"/>
      <c r="K1257" s="5"/>
      <c r="L1257" s="1"/>
      <c r="M1257" s="5"/>
      <c r="N1257" s="4"/>
      <c r="O1257" s="1"/>
    </row>
    <row r="1258" spans="1:17">
      <c r="A1258" s="18"/>
      <c r="B1258" s="46" t="s">
        <v>633</v>
      </c>
      <c r="C1258" s="1">
        <v>1</v>
      </c>
      <c r="D1258" s="5">
        <v>3.5449999999999999</v>
      </c>
      <c r="E1258" s="5"/>
      <c r="F1258" s="5">
        <v>2.4500000000000002</v>
      </c>
      <c r="G1258" s="4">
        <f t="shared" si="88"/>
        <v>8.6852499999999999</v>
      </c>
      <c r="H1258" s="1" t="s">
        <v>17</v>
      </c>
      <c r="J1258" s="31"/>
      <c r="K1258" s="31"/>
    </row>
    <row r="1259" spans="1:17">
      <c r="A1259" s="18"/>
      <c r="C1259" s="1">
        <v>1</v>
      </c>
      <c r="D1259" s="5">
        <v>1.75</v>
      </c>
      <c r="E1259" s="5"/>
      <c r="F1259" s="5">
        <v>2.4500000000000002</v>
      </c>
      <c r="G1259" s="4">
        <f t="shared" si="88"/>
        <v>4.2875000000000005</v>
      </c>
      <c r="H1259" s="1" t="s">
        <v>10</v>
      </c>
      <c r="J1259" s="31"/>
      <c r="K1259" s="31"/>
    </row>
    <row r="1260" spans="1:17">
      <c r="A1260" s="18"/>
      <c r="C1260" s="1">
        <v>5</v>
      </c>
      <c r="D1260" s="5">
        <f>2.25+2.575</f>
        <v>4.8250000000000002</v>
      </c>
      <c r="E1260" s="5"/>
      <c r="F1260" s="5">
        <v>2.4500000000000002</v>
      </c>
      <c r="G1260" s="4">
        <f t="shared" si="88"/>
        <v>59.106250000000003</v>
      </c>
      <c r="H1260" s="1" t="s">
        <v>10</v>
      </c>
      <c r="J1260" s="31"/>
      <c r="K1260" s="31"/>
    </row>
    <row r="1261" spans="1:17">
      <c r="A1261" s="18"/>
      <c r="B1261" s="46"/>
      <c r="C1261" s="1"/>
      <c r="D1261" s="5"/>
      <c r="E1261" s="5"/>
      <c r="F1261" s="5"/>
      <c r="G1261" s="4"/>
      <c r="H1261" s="1"/>
      <c r="J1261" s="31"/>
      <c r="K1261" s="31"/>
    </row>
    <row r="1262" spans="1:17">
      <c r="A1262" s="18"/>
      <c r="B1262" s="9"/>
      <c r="C1262" s="1"/>
      <c r="D1262" s="5"/>
      <c r="E1262" s="5"/>
      <c r="F1262" s="34" t="s">
        <v>11</v>
      </c>
      <c r="G1262" s="53">
        <f>SUM(G1254:G1261)</f>
        <v>103.12400000000001</v>
      </c>
      <c r="H1262" s="50" t="s">
        <v>17</v>
      </c>
      <c r="J1262" s="31"/>
      <c r="K1262" s="31"/>
    </row>
    <row r="1263" spans="1:17">
      <c r="A1263" s="18"/>
      <c r="C1263" s="1"/>
      <c r="D1263" s="1"/>
      <c r="E1263" s="1"/>
      <c r="F1263" s="5" t="s">
        <v>395</v>
      </c>
      <c r="G1263" s="4">
        <f>G1262*7.5</f>
        <v>773.43000000000006</v>
      </c>
      <c r="H1263" s="1" t="s">
        <v>24</v>
      </c>
      <c r="J1263" s="31"/>
      <c r="K1263" s="31"/>
    </row>
    <row r="1264" spans="1:17">
      <c r="A1264" s="18"/>
      <c r="B1264" s="29"/>
      <c r="C1264" s="48"/>
      <c r="D1264" s="48"/>
      <c r="E1264" s="48"/>
      <c r="F1264" s="56" t="s">
        <v>13</v>
      </c>
      <c r="G1264" s="27">
        <f>ROUNDUP(G1263,0)</f>
        <v>774</v>
      </c>
      <c r="H1264" s="28" t="s">
        <v>24</v>
      </c>
      <c r="J1264" s="31"/>
      <c r="K1264" s="31"/>
    </row>
    <row r="1265" spans="1:11">
      <c r="A1265" s="18"/>
      <c r="B1265" s="29"/>
      <c r="C1265" s="48"/>
      <c r="D1265" s="48"/>
      <c r="E1265" s="48"/>
      <c r="F1265" s="1"/>
      <c r="G1265" s="33"/>
      <c r="H1265" s="24"/>
      <c r="J1265" s="31"/>
      <c r="K1265" s="31"/>
    </row>
    <row r="1266" spans="1:11">
      <c r="A1266" s="18">
        <f>A1222+1</f>
        <v>39</v>
      </c>
      <c r="B1266" s="9" t="s">
        <v>812</v>
      </c>
      <c r="C1266" s="48"/>
      <c r="D1266" s="48"/>
      <c r="E1266" s="48"/>
      <c r="F1266" s="1"/>
      <c r="G1266" s="33"/>
      <c r="H1266" s="24"/>
      <c r="J1266" s="31"/>
      <c r="K1266" s="31"/>
    </row>
    <row r="1267" spans="1:11">
      <c r="A1267" s="18"/>
      <c r="B1267" s="15" t="s">
        <v>56</v>
      </c>
      <c r="C1267" s="48"/>
      <c r="D1267" s="48"/>
      <c r="E1267" s="48"/>
      <c r="F1267" s="1"/>
      <c r="G1267" s="33"/>
      <c r="H1267" s="24"/>
      <c r="J1267" s="31"/>
      <c r="K1267" s="31"/>
    </row>
    <row r="1268" spans="1:11">
      <c r="A1268" s="18"/>
      <c r="B1268" s="46" t="s">
        <v>109</v>
      </c>
      <c r="C1268" s="61">
        <v>1</v>
      </c>
      <c r="D1268" s="5">
        <v>2.4</v>
      </c>
      <c r="E1268" s="68"/>
      <c r="F1268" s="5">
        <v>2.4500000000000002</v>
      </c>
      <c r="G1268" s="2">
        <f>C1268*D1268*F1268</f>
        <v>5.88</v>
      </c>
      <c r="H1268" s="1" t="s">
        <v>17</v>
      </c>
      <c r="J1268" s="31"/>
      <c r="K1268" s="31"/>
    </row>
    <row r="1269" spans="1:11">
      <c r="A1269" s="18"/>
      <c r="B1269" s="29"/>
      <c r="C1269" s="48"/>
      <c r="D1269" s="48"/>
      <c r="E1269" s="48"/>
      <c r="F1269" s="56" t="s">
        <v>13</v>
      </c>
      <c r="G1269" s="27">
        <f>ROUNDUP(G1268,0)</f>
        <v>6</v>
      </c>
      <c r="H1269" s="28" t="s">
        <v>17</v>
      </c>
      <c r="J1269" s="31"/>
      <c r="K1269" s="31"/>
    </row>
    <row r="1270" spans="1:11">
      <c r="A1270" s="18"/>
      <c r="B1270" s="29"/>
      <c r="C1270" s="48"/>
      <c r="D1270" s="48"/>
      <c r="E1270" s="48"/>
      <c r="F1270" s="1"/>
      <c r="G1270" s="33"/>
      <c r="H1270" s="24"/>
      <c r="J1270" s="31"/>
      <c r="K1270" s="31"/>
    </row>
    <row r="1271" spans="1:11">
      <c r="A1271" s="18"/>
      <c r="B1271" s="15" t="s">
        <v>57</v>
      </c>
      <c r="C1271" s="48"/>
      <c r="D1271" s="48"/>
      <c r="E1271" s="48"/>
      <c r="F1271" s="1"/>
      <c r="G1271" s="33"/>
      <c r="H1271" s="24"/>
      <c r="J1271" s="31"/>
      <c r="K1271" s="31"/>
    </row>
    <row r="1272" spans="1:11">
      <c r="A1272" s="18"/>
      <c r="B1272" s="46" t="s">
        <v>109</v>
      </c>
      <c r="C1272" s="61">
        <v>1</v>
      </c>
      <c r="D1272" s="5">
        <v>2.9</v>
      </c>
      <c r="E1272" s="68"/>
      <c r="F1272" s="5">
        <v>2.4500000000000002</v>
      </c>
      <c r="G1272" s="2">
        <f>C1272*D1272*F1272</f>
        <v>7.1050000000000004</v>
      </c>
      <c r="H1272" s="1" t="s">
        <v>17</v>
      </c>
      <c r="J1272" s="31"/>
      <c r="K1272" s="31"/>
    </row>
    <row r="1273" spans="1:11">
      <c r="A1273" s="18"/>
      <c r="B1273" s="29"/>
      <c r="C1273" s="48"/>
      <c r="D1273" s="48"/>
      <c r="E1273" s="48"/>
      <c r="F1273" s="56" t="s">
        <v>13</v>
      </c>
      <c r="G1273" s="27">
        <f>ROUNDUP(G1272,0)</f>
        <v>8</v>
      </c>
      <c r="H1273" s="28" t="s">
        <v>17</v>
      </c>
      <c r="J1273" s="31"/>
      <c r="K1273" s="31"/>
    </row>
    <row r="1274" spans="1:11">
      <c r="A1274" s="18"/>
      <c r="B1274" s="29"/>
      <c r="C1274" s="48"/>
      <c r="D1274" s="48"/>
      <c r="E1274" s="48"/>
      <c r="F1274" s="1"/>
      <c r="G1274" s="33"/>
      <c r="H1274" s="24"/>
      <c r="J1274" s="31"/>
      <c r="K1274" s="31"/>
    </row>
    <row r="1275" spans="1:11">
      <c r="A1275" s="18"/>
      <c r="B1275" s="29"/>
      <c r="C1275" s="48"/>
      <c r="D1275" s="48"/>
      <c r="E1275" s="48"/>
      <c r="F1275" s="1"/>
      <c r="G1275" s="33"/>
      <c r="H1275" s="24"/>
      <c r="J1275" s="31"/>
      <c r="K1275" s="31"/>
    </row>
    <row r="1276" spans="1:11">
      <c r="A1276" s="18"/>
      <c r="B1276" s="29"/>
      <c r="C1276" s="48"/>
      <c r="D1276" s="48"/>
      <c r="E1276" s="48"/>
      <c r="F1276" s="1"/>
      <c r="G1276" s="33"/>
      <c r="H1276" s="24"/>
      <c r="J1276" s="31"/>
      <c r="K1276" s="31"/>
    </row>
    <row r="1277" spans="1:11" ht="27.6">
      <c r="A1277" s="18">
        <f>A1266+1</f>
        <v>40</v>
      </c>
      <c r="B1277" s="32" t="s">
        <v>819</v>
      </c>
      <c r="C1277" s="1"/>
      <c r="D1277" s="5"/>
      <c r="E1277" s="5"/>
      <c r="F1277" s="9"/>
      <c r="G1277" s="33"/>
      <c r="H1277" s="24"/>
      <c r="J1277" s="31"/>
      <c r="K1277" s="31"/>
    </row>
    <row r="1278" spans="1:11">
      <c r="A1278" s="29"/>
      <c r="B1278" s="15" t="s">
        <v>56</v>
      </c>
      <c r="C1278" s="1">
        <v>1</v>
      </c>
      <c r="D1278" s="5"/>
      <c r="E1278" s="5"/>
      <c r="F1278" s="5"/>
      <c r="G1278" s="4">
        <f>C1278</f>
        <v>1</v>
      </c>
      <c r="H1278" s="1" t="s">
        <v>214</v>
      </c>
      <c r="J1278" s="31"/>
      <c r="K1278" s="31"/>
    </row>
    <row r="1279" spans="1:11">
      <c r="A1279" s="29"/>
      <c r="C1279" s="1"/>
      <c r="D1279" s="5"/>
      <c r="E1279" s="5"/>
      <c r="F1279" s="69" t="s">
        <v>13</v>
      </c>
      <c r="G1279" s="27">
        <f>ROUNDUP(G1278,0)</f>
        <v>1</v>
      </c>
      <c r="H1279" s="28" t="s">
        <v>408</v>
      </c>
      <c r="J1279" s="31"/>
      <c r="K1279" s="31"/>
    </row>
    <row r="1280" spans="1:11">
      <c r="A1280" s="18"/>
      <c r="B1280" s="29"/>
      <c r="C1280" s="48"/>
      <c r="D1280" s="48"/>
      <c r="E1280" s="48"/>
      <c r="F1280" s="1"/>
      <c r="G1280" s="33"/>
      <c r="H1280" s="24"/>
      <c r="J1280" s="31"/>
      <c r="K1280" s="31"/>
    </row>
    <row r="1281" spans="1:11">
      <c r="A1281" s="18"/>
      <c r="B1281" s="15" t="s">
        <v>57</v>
      </c>
      <c r="C1281" s="1">
        <v>1</v>
      </c>
      <c r="D1281" s="5"/>
      <c r="E1281" s="5"/>
      <c r="F1281" s="5"/>
      <c r="G1281" s="4">
        <f>C1281</f>
        <v>1</v>
      </c>
      <c r="H1281" s="1" t="s">
        <v>214</v>
      </c>
      <c r="J1281" s="31"/>
      <c r="K1281" s="31"/>
    </row>
    <row r="1282" spans="1:11">
      <c r="A1282" s="18"/>
      <c r="C1282" s="1"/>
      <c r="D1282" s="5"/>
      <c r="E1282" s="5"/>
      <c r="F1282" s="69" t="s">
        <v>13</v>
      </c>
      <c r="G1282" s="27">
        <f>ROUNDUP(G1281,0)</f>
        <v>1</v>
      </c>
      <c r="H1282" s="28" t="s">
        <v>408</v>
      </c>
      <c r="J1282" s="31"/>
      <c r="K1282" s="31"/>
    </row>
    <row r="1283" spans="1:11">
      <c r="A1283" s="18"/>
      <c r="C1283" s="1"/>
      <c r="D1283" s="5"/>
      <c r="E1283" s="5"/>
      <c r="F1283" s="9"/>
      <c r="G1283" s="33"/>
      <c r="H1283" s="24"/>
      <c r="J1283" s="31"/>
      <c r="K1283" s="31"/>
    </row>
    <row r="1284" spans="1:11">
      <c r="A1284" s="18"/>
      <c r="C1284" s="1"/>
      <c r="D1284" s="5"/>
      <c r="E1284" s="5"/>
      <c r="F1284" s="9"/>
      <c r="G1284" s="33"/>
      <c r="H1284" s="24"/>
      <c r="J1284" s="31"/>
      <c r="K1284" s="31"/>
    </row>
    <row r="1285" spans="1:11">
      <c r="A1285" s="18">
        <f>A1277+1</f>
        <v>41</v>
      </c>
      <c r="B1285" s="9" t="s">
        <v>396</v>
      </c>
      <c r="C1285" s="48"/>
      <c r="D1285" s="48"/>
      <c r="E1285" s="48"/>
      <c r="F1285" s="1"/>
      <c r="G1285" s="33"/>
      <c r="H1285" s="24"/>
      <c r="J1285" s="31"/>
      <c r="K1285" s="31"/>
    </row>
    <row r="1286" spans="1:11">
      <c r="A1286" s="18"/>
      <c r="B1286" s="15" t="s">
        <v>56</v>
      </c>
      <c r="C1286" s="48"/>
      <c r="D1286" s="48"/>
      <c r="E1286" s="48"/>
      <c r="F1286" s="1"/>
      <c r="G1286" s="33"/>
      <c r="H1286" s="24"/>
      <c r="J1286" s="31"/>
      <c r="K1286" s="31"/>
    </row>
    <row r="1287" spans="1:11">
      <c r="A1287" s="79"/>
      <c r="B1287" s="46" t="s">
        <v>100</v>
      </c>
      <c r="C1287" s="1">
        <v>9</v>
      </c>
      <c r="D1287" s="5">
        <v>1.8</v>
      </c>
      <c r="E1287" s="5"/>
      <c r="F1287" s="5">
        <v>1.5</v>
      </c>
      <c r="G1287" s="4">
        <f>C1287*D1287*F1287</f>
        <v>24.299999999999997</v>
      </c>
      <c r="H1287" s="1" t="s">
        <v>17</v>
      </c>
      <c r="J1287" s="31"/>
      <c r="K1287" s="31"/>
    </row>
    <row r="1288" spans="1:11">
      <c r="A1288" s="79"/>
      <c r="B1288" s="46" t="s">
        <v>457</v>
      </c>
      <c r="C1288" s="1">
        <v>2</v>
      </c>
      <c r="D1288" s="5">
        <v>0.6</v>
      </c>
      <c r="E1288" s="5"/>
      <c r="F1288" s="5">
        <v>1.5</v>
      </c>
      <c r="G1288" s="4">
        <f t="shared" ref="G1288:G1294" si="89">C1288*D1288*F1288</f>
        <v>1.7999999999999998</v>
      </c>
      <c r="H1288" s="1" t="s">
        <v>10</v>
      </c>
      <c r="J1288" s="31"/>
      <c r="K1288" s="31"/>
    </row>
    <row r="1289" spans="1:11">
      <c r="A1289" s="79"/>
      <c r="B1289" s="46" t="s">
        <v>447</v>
      </c>
      <c r="C1289" s="1">
        <v>2</v>
      </c>
      <c r="D1289" s="5">
        <v>0.45</v>
      </c>
      <c r="E1289" s="5"/>
      <c r="F1289" s="5">
        <v>2.4500000000000002</v>
      </c>
      <c r="G1289" s="4">
        <f t="shared" si="89"/>
        <v>2.2050000000000001</v>
      </c>
      <c r="H1289" s="1" t="s">
        <v>10</v>
      </c>
      <c r="J1289" s="31"/>
      <c r="K1289" s="31"/>
    </row>
    <row r="1290" spans="1:11">
      <c r="A1290" s="79"/>
      <c r="B1290" s="46" t="s">
        <v>103</v>
      </c>
      <c r="C1290" s="1">
        <v>11</v>
      </c>
      <c r="D1290" s="5">
        <v>1.8</v>
      </c>
      <c r="E1290" s="5"/>
      <c r="F1290" s="5">
        <v>0.75</v>
      </c>
      <c r="G1290" s="4">
        <f t="shared" si="89"/>
        <v>14.850000000000001</v>
      </c>
      <c r="H1290" s="1" t="s">
        <v>10</v>
      </c>
      <c r="J1290" s="31"/>
      <c r="K1290" s="31"/>
    </row>
    <row r="1291" spans="1:11">
      <c r="A1291" s="79"/>
      <c r="B1291" s="46" t="s">
        <v>104</v>
      </c>
      <c r="C1291" s="1">
        <v>2</v>
      </c>
      <c r="D1291" s="5">
        <v>1.5</v>
      </c>
      <c r="E1291" s="5"/>
      <c r="F1291" s="5">
        <v>0.75</v>
      </c>
      <c r="G1291" s="4">
        <f t="shared" si="89"/>
        <v>2.25</v>
      </c>
      <c r="H1291" s="1" t="s">
        <v>10</v>
      </c>
      <c r="J1291" s="31"/>
      <c r="K1291" s="31"/>
    </row>
    <row r="1292" spans="1:11">
      <c r="A1292" s="79"/>
      <c r="B1292" s="46" t="s">
        <v>105</v>
      </c>
      <c r="C1292" s="1">
        <v>2</v>
      </c>
      <c r="D1292" s="5">
        <v>1.2</v>
      </c>
      <c r="E1292" s="5"/>
      <c r="F1292" s="5">
        <v>0.75</v>
      </c>
      <c r="G1292" s="4">
        <f t="shared" si="89"/>
        <v>1.7999999999999998</v>
      </c>
      <c r="H1292" s="1" t="s">
        <v>10</v>
      </c>
      <c r="J1292" s="31"/>
      <c r="K1292" s="31"/>
    </row>
    <row r="1293" spans="1:11">
      <c r="A1293" s="79"/>
      <c r="B1293" s="46" t="s">
        <v>444</v>
      </c>
      <c r="C1293" s="1">
        <v>1</v>
      </c>
      <c r="D1293" s="5">
        <v>1.2</v>
      </c>
      <c r="E1293" s="5"/>
      <c r="F1293" s="5">
        <v>0.6</v>
      </c>
      <c r="G1293" s="4">
        <f t="shared" si="89"/>
        <v>0.72</v>
      </c>
      <c r="H1293" s="1" t="s">
        <v>10</v>
      </c>
      <c r="J1293" s="31"/>
      <c r="K1293" s="31"/>
    </row>
    <row r="1294" spans="1:11">
      <c r="A1294" s="79"/>
      <c r="B1294" s="46" t="s">
        <v>108</v>
      </c>
      <c r="C1294" s="1">
        <v>5</v>
      </c>
      <c r="D1294" s="5">
        <v>0.6</v>
      </c>
      <c r="E1294" s="5"/>
      <c r="F1294" s="83">
        <v>0.6</v>
      </c>
      <c r="G1294" s="4">
        <f t="shared" si="89"/>
        <v>1.7999999999999998</v>
      </c>
      <c r="H1294" s="1" t="s">
        <v>10</v>
      </c>
      <c r="J1294" s="31"/>
      <c r="K1294" s="31"/>
    </row>
    <row r="1295" spans="1:11">
      <c r="A1295" s="79"/>
      <c r="B1295" s="46"/>
      <c r="C1295" s="1"/>
      <c r="D1295" s="5"/>
      <c r="E1295" s="5"/>
      <c r="F1295" s="5"/>
      <c r="G1295" s="4"/>
      <c r="H1295" s="1"/>
      <c r="J1295" s="31"/>
      <c r="K1295" s="31"/>
    </row>
    <row r="1296" spans="1:11">
      <c r="A1296" s="79"/>
      <c r="B1296" s="9"/>
      <c r="C1296" s="1"/>
      <c r="D1296" s="5"/>
      <c r="E1296" s="5"/>
      <c r="F1296" s="34" t="s">
        <v>11</v>
      </c>
      <c r="G1296" s="53">
        <f>SUM(G1287:G1295)</f>
        <v>49.724999999999994</v>
      </c>
      <c r="H1296" s="50" t="s">
        <v>17</v>
      </c>
      <c r="J1296" s="31"/>
      <c r="K1296" s="31"/>
    </row>
    <row r="1297" spans="1:11">
      <c r="A1297" s="79"/>
      <c r="C1297" s="1"/>
      <c r="D1297" s="1"/>
      <c r="E1297" s="1"/>
      <c r="F1297" s="56" t="s">
        <v>13</v>
      </c>
      <c r="G1297" s="27">
        <f>ROUNDUP(G1296,0)</f>
        <v>50</v>
      </c>
      <c r="H1297" s="28" t="s">
        <v>17</v>
      </c>
      <c r="J1297" s="31"/>
      <c r="K1297" s="31"/>
    </row>
    <row r="1298" spans="1:11">
      <c r="A1298" s="79"/>
      <c r="C1298" s="1"/>
      <c r="D1298" s="1"/>
      <c r="E1298" s="1"/>
      <c r="F1298" s="1"/>
      <c r="G1298" s="33"/>
      <c r="H1298" s="24"/>
      <c r="J1298" s="31"/>
      <c r="K1298" s="31"/>
    </row>
    <row r="1299" spans="1:11">
      <c r="A1299" s="79"/>
      <c r="B1299" s="15" t="s">
        <v>445</v>
      </c>
      <c r="C1299" s="48"/>
      <c r="D1299" s="48"/>
      <c r="E1299" s="48"/>
      <c r="F1299" s="1"/>
      <c r="G1299" s="33"/>
      <c r="H1299" s="24"/>
      <c r="J1299" s="31"/>
      <c r="K1299" s="31"/>
    </row>
    <row r="1300" spans="1:11">
      <c r="A1300" s="79"/>
      <c r="B1300" s="46" t="s">
        <v>100</v>
      </c>
      <c r="C1300" s="1">
        <v>4</v>
      </c>
      <c r="D1300" s="5">
        <v>1.8</v>
      </c>
      <c r="E1300" s="1"/>
      <c r="F1300" s="5">
        <v>1.5</v>
      </c>
      <c r="G1300" s="4">
        <f>C1300*D1300*F1300</f>
        <v>10.8</v>
      </c>
      <c r="H1300" s="1" t="s">
        <v>17</v>
      </c>
      <c r="J1300" s="31"/>
      <c r="K1300" s="31"/>
    </row>
    <row r="1301" spans="1:11">
      <c r="A1301" s="79"/>
      <c r="B1301" s="46" t="s">
        <v>102</v>
      </c>
      <c r="C1301" s="1">
        <v>2</v>
      </c>
      <c r="D1301" s="5">
        <v>1.2</v>
      </c>
      <c r="E1301" s="1"/>
      <c r="F1301" s="5">
        <v>1.5</v>
      </c>
      <c r="G1301" s="4">
        <f t="shared" ref="G1301:G1308" si="90">C1301*D1301*F1301</f>
        <v>3.5999999999999996</v>
      </c>
      <c r="H1301" s="1" t="s">
        <v>10</v>
      </c>
      <c r="J1301" s="31"/>
      <c r="K1301" s="31"/>
    </row>
    <row r="1302" spans="1:11">
      <c r="A1302" s="79"/>
      <c r="B1302" s="46" t="s">
        <v>446</v>
      </c>
      <c r="C1302" s="1">
        <v>2</v>
      </c>
      <c r="D1302" s="5">
        <v>1.2</v>
      </c>
      <c r="E1302" s="1"/>
      <c r="F1302" s="5">
        <v>1.5</v>
      </c>
      <c r="G1302" s="4">
        <f t="shared" si="90"/>
        <v>3.5999999999999996</v>
      </c>
      <c r="H1302" s="1" t="s">
        <v>10</v>
      </c>
      <c r="J1302" s="31"/>
      <c r="K1302" s="31"/>
    </row>
    <row r="1303" spans="1:11">
      <c r="A1303" s="79"/>
      <c r="B1303" s="46" t="s">
        <v>447</v>
      </c>
      <c r="C1303" s="1">
        <v>2</v>
      </c>
      <c r="D1303" s="5">
        <v>0.45</v>
      </c>
      <c r="E1303" s="1"/>
      <c r="F1303" s="5">
        <v>2.4500000000000002</v>
      </c>
      <c r="G1303" s="4">
        <f t="shared" si="90"/>
        <v>2.2050000000000001</v>
      </c>
      <c r="H1303" s="1" t="s">
        <v>10</v>
      </c>
      <c r="J1303" s="31"/>
      <c r="K1303" s="31"/>
    </row>
    <row r="1304" spans="1:11">
      <c r="A1304" s="79"/>
      <c r="B1304" s="46" t="s">
        <v>103</v>
      </c>
      <c r="C1304" s="1">
        <v>16</v>
      </c>
      <c r="D1304" s="5">
        <v>1.8</v>
      </c>
      <c r="E1304" s="1"/>
      <c r="F1304" s="5">
        <v>0.75</v>
      </c>
      <c r="G1304" s="4">
        <f t="shared" si="90"/>
        <v>21.6</v>
      </c>
      <c r="H1304" s="1" t="s">
        <v>10</v>
      </c>
      <c r="J1304" s="31"/>
      <c r="K1304" s="31"/>
    </row>
    <row r="1305" spans="1:11">
      <c r="A1305" s="79"/>
      <c r="B1305" s="46" t="s">
        <v>448</v>
      </c>
      <c r="C1305" s="1">
        <v>7</v>
      </c>
      <c r="D1305" s="5">
        <v>1.8</v>
      </c>
      <c r="E1305" s="1"/>
      <c r="F1305" s="5">
        <v>0.75</v>
      </c>
      <c r="G1305" s="4">
        <f t="shared" si="90"/>
        <v>9.4499999999999993</v>
      </c>
      <c r="H1305" s="1" t="s">
        <v>10</v>
      </c>
      <c r="J1305" s="31"/>
      <c r="K1305" s="31"/>
    </row>
    <row r="1306" spans="1:11">
      <c r="A1306" s="79"/>
      <c r="B1306" s="46" t="s">
        <v>106</v>
      </c>
      <c r="C1306" s="1">
        <v>3</v>
      </c>
      <c r="D1306" s="5">
        <v>0.9</v>
      </c>
      <c r="E1306" s="1"/>
      <c r="F1306" s="5">
        <v>0.6</v>
      </c>
      <c r="G1306" s="4">
        <f t="shared" si="90"/>
        <v>1.62</v>
      </c>
      <c r="H1306" s="1" t="s">
        <v>10</v>
      </c>
      <c r="J1306" s="31"/>
      <c r="K1306" s="31"/>
    </row>
    <row r="1307" spans="1:11">
      <c r="A1307" s="79"/>
      <c r="B1307" s="46" t="s">
        <v>107</v>
      </c>
      <c r="C1307" s="1">
        <v>5</v>
      </c>
      <c r="D1307" s="5">
        <v>0.75</v>
      </c>
      <c r="E1307" s="1"/>
      <c r="F1307" s="5">
        <v>0.6</v>
      </c>
      <c r="G1307" s="4">
        <f t="shared" si="90"/>
        <v>2.25</v>
      </c>
      <c r="H1307" s="1" t="s">
        <v>10</v>
      </c>
      <c r="J1307" s="31"/>
      <c r="K1307" s="31"/>
    </row>
    <row r="1308" spans="1:11">
      <c r="A1308" s="79"/>
      <c r="B1308" s="46" t="s">
        <v>108</v>
      </c>
      <c r="C1308" s="1">
        <v>3</v>
      </c>
      <c r="D1308" s="5">
        <v>0.6</v>
      </c>
      <c r="E1308" s="1"/>
      <c r="F1308" s="5">
        <v>0.6</v>
      </c>
      <c r="G1308" s="4">
        <f t="shared" si="90"/>
        <v>1.0799999999999998</v>
      </c>
      <c r="H1308" s="1" t="s">
        <v>10</v>
      </c>
      <c r="J1308" s="31"/>
      <c r="K1308" s="31"/>
    </row>
    <row r="1309" spans="1:11">
      <c r="A1309" s="79"/>
      <c r="B1309" s="46"/>
      <c r="C1309" s="1"/>
      <c r="D1309" s="5"/>
      <c r="E1309" s="5"/>
      <c r="F1309" s="5"/>
      <c r="G1309" s="4"/>
      <c r="H1309" s="1"/>
      <c r="J1309" s="31"/>
      <c r="K1309" s="31"/>
    </row>
    <row r="1310" spans="1:11">
      <c r="A1310" s="79"/>
      <c r="B1310" s="9"/>
      <c r="C1310" s="1"/>
      <c r="D1310" s="5"/>
      <c r="E1310" s="5"/>
      <c r="F1310" s="34" t="s">
        <v>11</v>
      </c>
      <c r="G1310" s="53">
        <f>SUM(G1300:G1309)</f>
        <v>56.204999999999991</v>
      </c>
      <c r="H1310" s="50" t="s">
        <v>17</v>
      </c>
      <c r="J1310" s="31"/>
      <c r="K1310" s="31"/>
    </row>
    <row r="1311" spans="1:11">
      <c r="A1311" s="79"/>
      <c r="C1311" s="1"/>
      <c r="D1311" s="1"/>
      <c r="E1311" s="1"/>
      <c r="F1311" s="56" t="s">
        <v>13</v>
      </c>
      <c r="G1311" s="27">
        <f>ROUNDUP(G1310,0)</f>
        <v>57</v>
      </c>
      <c r="H1311" s="28" t="s">
        <v>17</v>
      </c>
      <c r="J1311" s="31"/>
      <c r="K1311" s="31"/>
    </row>
    <row r="1312" spans="1:11">
      <c r="A1312" s="79"/>
      <c r="C1312" s="1"/>
      <c r="D1312" s="1"/>
      <c r="E1312" s="1"/>
      <c r="F1312" s="1"/>
      <c r="G1312" s="33"/>
      <c r="H1312" s="24"/>
      <c r="J1312" s="31"/>
      <c r="K1312" s="31"/>
    </row>
    <row r="1313" spans="1:11">
      <c r="A1313" s="79"/>
      <c r="B1313" s="15" t="s">
        <v>57</v>
      </c>
      <c r="C1313" s="48"/>
      <c r="D1313" s="48"/>
      <c r="E1313" s="48"/>
      <c r="F1313" s="1"/>
      <c r="G1313" s="33"/>
      <c r="H1313" s="24"/>
      <c r="J1313" s="31"/>
      <c r="K1313" s="31"/>
    </row>
    <row r="1314" spans="1:11">
      <c r="A1314" s="79"/>
      <c r="B1314" s="46" t="s">
        <v>100</v>
      </c>
      <c r="C1314" s="1">
        <v>6</v>
      </c>
      <c r="D1314" s="5">
        <v>1.8</v>
      </c>
      <c r="E1314" s="1"/>
      <c r="F1314" s="5">
        <v>1.5</v>
      </c>
      <c r="G1314" s="4">
        <f>C1314*D1314*F1314</f>
        <v>16.200000000000003</v>
      </c>
      <c r="H1314" s="1" t="s">
        <v>17</v>
      </c>
      <c r="J1314" s="31"/>
      <c r="K1314" s="31"/>
    </row>
    <row r="1315" spans="1:11">
      <c r="A1315" s="79"/>
      <c r="B1315" s="46" t="s">
        <v>107</v>
      </c>
      <c r="C1315" s="1">
        <v>7</v>
      </c>
      <c r="D1315" s="5">
        <v>0.6</v>
      </c>
      <c r="E1315" s="1"/>
      <c r="F1315" s="5">
        <v>1.5</v>
      </c>
      <c r="G1315" s="4">
        <f>C1315*D1315*F1315</f>
        <v>6.3000000000000007</v>
      </c>
      <c r="H1315" s="1" t="s">
        <v>10</v>
      </c>
      <c r="J1315" s="31"/>
      <c r="K1315" s="31"/>
    </row>
    <row r="1316" spans="1:11">
      <c r="A1316" s="79"/>
      <c r="B1316" s="46" t="s">
        <v>108</v>
      </c>
      <c r="C1316" s="1">
        <v>4</v>
      </c>
      <c r="D1316" s="5">
        <v>0.6</v>
      </c>
      <c r="E1316" s="1"/>
      <c r="F1316" s="5">
        <v>0.6</v>
      </c>
      <c r="G1316" s="4">
        <f>C1316*D1316*F1316</f>
        <v>1.44</v>
      </c>
      <c r="H1316" s="1" t="s">
        <v>10</v>
      </c>
      <c r="J1316" s="31"/>
      <c r="K1316" s="31"/>
    </row>
    <row r="1317" spans="1:11">
      <c r="A1317" s="79"/>
      <c r="B1317" s="46" t="s">
        <v>633</v>
      </c>
      <c r="C1317" s="1">
        <v>1</v>
      </c>
      <c r="D1317" s="5">
        <v>3.5449999999999999</v>
      </c>
      <c r="E1317" s="5"/>
      <c r="F1317" s="5">
        <v>2.4500000000000002</v>
      </c>
      <c r="G1317" s="4">
        <f t="shared" ref="G1317:G1319" si="91">C1317*D1317*F1317</f>
        <v>8.6852499999999999</v>
      </c>
      <c r="H1317" s="1" t="s">
        <v>17</v>
      </c>
      <c r="J1317" s="31"/>
      <c r="K1317" s="31"/>
    </row>
    <row r="1318" spans="1:11">
      <c r="A1318" s="79"/>
      <c r="C1318" s="1">
        <v>1</v>
      </c>
      <c r="D1318" s="5">
        <v>1.75</v>
      </c>
      <c r="E1318" s="5"/>
      <c r="F1318" s="5">
        <v>2.4500000000000002</v>
      </c>
      <c r="G1318" s="4">
        <f t="shared" si="91"/>
        <v>4.2875000000000005</v>
      </c>
      <c r="H1318" s="1" t="s">
        <v>10</v>
      </c>
      <c r="J1318" s="31"/>
      <c r="K1318" s="31"/>
    </row>
    <row r="1319" spans="1:11">
      <c r="A1319" s="79"/>
      <c r="C1319" s="1">
        <v>5</v>
      </c>
      <c r="D1319" s="5">
        <f>2.25+2.575</f>
        <v>4.8250000000000002</v>
      </c>
      <c r="E1319" s="5"/>
      <c r="F1319" s="5">
        <v>2.4500000000000002</v>
      </c>
      <c r="G1319" s="4">
        <f t="shared" si="91"/>
        <v>59.106250000000003</v>
      </c>
      <c r="H1319" s="1" t="s">
        <v>10</v>
      </c>
      <c r="J1319" s="31"/>
      <c r="K1319" s="31"/>
    </row>
    <row r="1320" spans="1:11">
      <c r="A1320" s="79"/>
      <c r="B1320" s="46"/>
      <c r="C1320" s="1"/>
      <c r="D1320" s="5"/>
      <c r="E1320" s="5"/>
      <c r="F1320" s="5"/>
      <c r="G1320" s="4"/>
      <c r="H1320" s="1"/>
      <c r="J1320" s="31"/>
      <c r="K1320" s="31"/>
    </row>
    <row r="1321" spans="1:11">
      <c r="A1321" s="79"/>
      <c r="B1321" s="9"/>
      <c r="C1321" s="1"/>
      <c r="D1321" s="5"/>
      <c r="E1321" s="5"/>
      <c r="F1321" s="34" t="s">
        <v>11</v>
      </c>
      <c r="G1321" s="53">
        <f>SUM(G1314:G1320)</f>
        <v>96.019000000000005</v>
      </c>
      <c r="H1321" s="50" t="s">
        <v>17</v>
      </c>
      <c r="J1321" s="31"/>
      <c r="K1321" s="31"/>
    </row>
    <row r="1322" spans="1:11">
      <c r="A1322" s="79"/>
      <c r="C1322" s="1"/>
      <c r="D1322" s="1"/>
      <c r="E1322" s="1"/>
      <c r="F1322" s="56" t="s">
        <v>13</v>
      </c>
      <c r="G1322" s="27">
        <f>ROUNDUP(G1321,0)</f>
        <v>97</v>
      </c>
      <c r="H1322" s="28" t="s">
        <v>17</v>
      </c>
      <c r="J1322" s="31"/>
      <c r="K1322" s="31"/>
    </row>
    <row r="1323" spans="1:11">
      <c r="A1323" s="79"/>
      <c r="C1323" s="1"/>
      <c r="D1323" s="1"/>
      <c r="E1323" s="1"/>
      <c r="F1323" s="68"/>
      <c r="G1323" s="72"/>
      <c r="H1323" s="73"/>
      <c r="I1323" s="9"/>
      <c r="J1323" s="4"/>
    </row>
    <row r="1324" spans="1:11">
      <c r="A1324" s="18">
        <f>A1285+1</f>
        <v>42</v>
      </c>
      <c r="B1324" s="9" t="s">
        <v>397</v>
      </c>
      <c r="C1324" s="48"/>
      <c r="D1324" s="48"/>
      <c r="E1324" s="48"/>
      <c r="F1324" s="1"/>
      <c r="G1324" s="33"/>
      <c r="H1324" s="24"/>
      <c r="I1324" s="9"/>
      <c r="J1324" s="4"/>
    </row>
    <row r="1325" spans="1:11">
      <c r="A1325" s="79"/>
      <c r="B1325" s="15" t="s">
        <v>56</v>
      </c>
      <c r="C1325" s="31"/>
      <c r="D1325" s="31"/>
      <c r="E1325" s="31"/>
      <c r="F1325" s="31"/>
      <c r="H1325" s="31"/>
      <c r="J1325" s="4"/>
    </row>
    <row r="1326" spans="1:11">
      <c r="A1326" s="79"/>
      <c r="B1326" s="46"/>
      <c r="C1326" s="84">
        <v>0.5</v>
      </c>
      <c r="D1326" s="4" t="s">
        <v>399</v>
      </c>
      <c r="E1326" s="5"/>
      <c r="F1326" s="1"/>
      <c r="G1326" s="33"/>
      <c r="H1326" s="24"/>
      <c r="J1326" s="4"/>
    </row>
    <row r="1327" spans="1:11">
      <c r="A1327" s="79"/>
      <c r="B1327" s="46"/>
      <c r="C1327" s="5">
        <f>G1296</f>
        <v>49.724999999999994</v>
      </c>
      <c r="D1327" s="1" t="s">
        <v>400</v>
      </c>
      <c r="E1327" s="84">
        <v>0.5</v>
      </c>
      <c r="F1327" s="1"/>
      <c r="G1327" s="4">
        <f>C1327*E1327</f>
        <v>24.862499999999997</v>
      </c>
      <c r="H1327" s="1" t="s">
        <v>47</v>
      </c>
      <c r="I1327" s="1"/>
      <c r="J1327" s="4"/>
    </row>
    <row r="1328" spans="1:11">
      <c r="A1328" s="79"/>
      <c r="C1328" s="1"/>
      <c r="D1328" s="5"/>
      <c r="E1328" s="5"/>
      <c r="F1328" s="58" t="s">
        <v>13</v>
      </c>
      <c r="G1328" s="27">
        <f>ROUNDUP(G1327,0)</f>
        <v>25</v>
      </c>
      <c r="H1328" s="28" t="s">
        <v>47</v>
      </c>
      <c r="I1328" s="9"/>
      <c r="J1328" s="4"/>
    </row>
    <row r="1329" spans="1:10">
      <c r="A1329" s="79"/>
      <c r="C1329" s="1"/>
      <c r="D1329" s="1"/>
      <c r="E1329" s="1"/>
      <c r="F1329" s="1"/>
      <c r="G1329" s="33"/>
      <c r="H1329" s="24"/>
      <c r="I1329" s="9"/>
      <c r="J1329" s="4"/>
    </row>
    <row r="1330" spans="1:10">
      <c r="A1330" s="79"/>
      <c r="B1330" s="15" t="s">
        <v>445</v>
      </c>
      <c r="C1330" s="31"/>
      <c r="D1330" s="31"/>
      <c r="E1330" s="31"/>
      <c r="F1330" s="31"/>
      <c r="H1330" s="31"/>
      <c r="I1330" s="9"/>
      <c r="J1330" s="4"/>
    </row>
    <row r="1331" spans="1:10">
      <c r="A1331" s="79"/>
      <c r="B1331" s="46"/>
      <c r="C1331" s="84">
        <v>0.5</v>
      </c>
      <c r="D1331" s="4" t="s">
        <v>399</v>
      </c>
      <c r="E1331" s="5"/>
      <c r="F1331" s="1"/>
      <c r="G1331" s="33"/>
      <c r="H1331" s="24"/>
      <c r="I1331" s="9"/>
      <c r="J1331" s="4"/>
    </row>
    <row r="1332" spans="1:10">
      <c r="A1332" s="79"/>
      <c r="B1332" s="46"/>
      <c r="C1332" s="5">
        <f>G1310</f>
        <v>56.204999999999991</v>
      </c>
      <c r="D1332" s="1" t="s">
        <v>400</v>
      </c>
      <c r="E1332" s="84">
        <v>0.5</v>
      </c>
      <c r="F1332" s="1"/>
      <c r="G1332" s="4">
        <f>C1332*E1332</f>
        <v>28.102499999999996</v>
      </c>
      <c r="H1332" s="1" t="s">
        <v>47</v>
      </c>
      <c r="I1332" s="9"/>
      <c r="J1332" s="4"/>
    </row>
    <row r="1333" spans="1:10">
      <c r="A1333" s="79"/>
      <c r="B1333" s="46"/>
      <c r="C1333" s="1"/>
      <c r="D1333" s="5"/>
      <c r="E1333" s="5"/>
      <c r="F1333" s="58" t="s">
        <v>13</v>
      </c>
      <c r="G1333" s="27">
        <f>ROUNDUP(G1332,0)</f>
        <v>29</v>
      </c>
      <c r="H1333" s="28" t="s">
        <v>47</v>
      </c>
      <c r="I1333" s="9"/>
      <c r="J1333" s="4"/>
    </row>
    <row r="1334" spans="1:10">
      <c r="A1334" s="79"/>
      <c r="C1334" s="1"/>
      <c r="D1334" s="1"/>
      <c r="E1334" s="1"/>
      <c r="F1334" s="1"/>
      <c r="G1334" s="33"/>
      <c r="H1334" s="24"/>
      <c r="I1334" s="9"/>
      <c r="J1334" s="4"/>
    </row>
    <row r="1335" spans="1:10">
      <c r="A1335" s="79"/>
      <c r="B1335" s="15" t="s">
        <v>57</v>
      </c>
      <c r="C1335" s="1"/>
      <c r="D1335" s="1"/>
      <c r="E1335" s="1"/>
      <c r="F1335" s="1"/>
      <c r="G1335" s="33"/>
      <c r="H1335" s="24"/>
      <c r="I1335" s="9"/>
      <c r="J1335" s="4"/>
    </row>
    <row r="1336" spans="1:10">
      <c r="A1336" s="79"/>
      <c r="B1336" s="46"/>
      <c r="C1336" s="84">
        <v>0.5</v>
      </c>
      <c r="D1336" s="4" t="s">
        <v>399</v>
      </c>
      <c r="E1336" s="5"/>
      <c r="F1336" s="1"/>
      <c r="G1336" s="33"/>
      <c r="H1336" s="24"/>
      <c r="I1336" s="9"/>
      <c r="J1336" s="4"/>
    </row>
    <row r="1337" spans="1:10">
      <c r="A1337" s="79"/>
      <c r="B1337" s="46"/>
      <c r="C1337" s="5">
        <f>G1321</f>
        <v>96.019000000000005</v>
      </c>
      <c r="D1337" s="1" t="s">
        <v>400</v>
      </c>
      <c r="E1337" s="84">
        <v>0.5</v>
      </c>
      <c r="F1337" s="1"/>
      <c r="G1337" s="4">
        <f>C1337*E1337</f>
        <v>48.009500000000003</v>
      </c>
      <c r="H1337" s="1" t="s">
        <v>47</v>
      </c>
      <c r="I1337" s="9"/>
      <c r="J1337" s="4"/>
    </row>
    <row r="1338" spans="1:10">
      <c r="A1338" s="79"/>
      <c r="B1338" s="46"/>
      <c r="C1338" s="1"/>
      <c r="D1338" s="5"/>
      <c r="E1338" s="5"/>
      <c r="F1338" s="58" t="s">
        <v>13</v>
      </c>
      <c r="G1338" s="27">
        <f>ROUNDUP(G1337,0)</f>
        <v>49</v>
      </c>
      <c r="H1338" s="28" t="s">
        <v>47</v>
      </c>
      <c r="I1338" s="9"/>
      <c r="J1338" s="4"/>
    </row>
    <row r="1339" spans="1:10">
      <c r="A1339" s="79"/>
      <c r="C1339" s="1"/>
      <c r="D1339" s="1"/>
      <c r="E1339" s="1"/>
      <c r="F1339" s="1"/>
      <c r="G1339" s="33"/>
      <c r="H1339" s="24"/>
      <c r="I1339" s="9"/>
      <c r="J1339" s="4"/>
    </row>
    <row r="1340" spans="1:10">
      <c r="A1340" s="18">
        <f>A1324+1</f>
        <v>43</v>
      </c>
      <c r="B1340" s="9" t="s">
        <v>42</v>
      </c>
      <c r="C1340" s="1"/>
      <c r="D1340" s="5"/>
      <c r="E1340" s="5"/>
      <c r="F1340" s="1"/>
      <c r="G1340" s="33"/>
      <c r="H1340" s="24"/>
      <c r="I1340" s="9"/>
      <c r="J1340" s="4"/>
    </row>
    <row r="1341" spans="1:10">
      <c r="A1341" s="79"/>
      <c r="B1341" s="15" t="s">
        <v>56</v>
      </c>
      <c r="C1341" s="31"/>
      <c r="D1341" s="31"/>
      <c r="E1341" s="31"/>
      <c r="F1341" s="31"/>
      <c r="H1341" s="31"/>
      <c r="I1341" s="9"/>
      <c r="J1341" s="4"/>
    </row>
    <row r="1342" spans="1:10">
      <c r="A1342" s="79"/>
      <c r="B1342" s="46" t="s">
        <v>100</v>
      </c>
      <c r="C1342" s="1">
        <v>9</v>
      </c>
      <c r="D1342" s="5">
        <v>1.8</v>
      </c>
      <c r="E1342" s="5"/>
      <c r="F1342" s="5">
        <v>1.5</v>
      </c>
      <c r="G1342" s="4">
        <f>C1342*D1342*F1342</f>
        <v>24.299999999999997</v>
      </c>
      <c r="H1342" s="1" t="s">
        <v>17</v>
      </c>
      <c r="I1342" s="9"/>
      <c r="J1342" s="4"/>
    </row>
    <row r="1343" spans="1:10">
      <c r="A1343" s="79"/>
      <c r="B1343" s="46" t="s">
        <v>457</v>
      </c>
      <c r="C1343" s="1">
        <v>2</v>
      </c>
      <c r="D1343" s="5">
        <v>0.6</v>
      </c>
      <c r="E1343" s="5"/>
      <c r="F1343" s="5">
        <v>1.5</v>
      </c>
      <c r="G1343" s="4">
        <f t="shared" ref="G1343:G1350" si="92">C1343*D1343*F1343</f>
        <v>1.7999999999999998</v>
      </c>
      <c r="H1343" s="1" t="s">
        <v>10</v>
      </c>
      <c r="I1343" s="9"/>
      <c r="J1343" s="4"/>
    </row>
    <row r="1344" spans="1:10">
      <c r="A1344" s="79"/>
      <c r="B1344" s="46" t="s">
        <v>447</v>
      </c>
      <c r="C1344" s="1">
        <v>2</v>
      </c>
      <c r="D1344" s="5">
        <v>0.45</v>
      </c>
      <c r="E1344" s="5"/>
      <c r="F1344" s="5">
        <v>2.4500000000000002</v>
      </c>
      <c r="G1344" s="4">
        <f t="shared" si="92"/>
        <v>2.2050000000000001</v>
      </c>
      <c r="H1344" s="1" t="s">
        <v>10</v>
      </c>
      <c r="I1344" s="9"/>
      <c r="J1344" s="4"/>
    </row>
    <row r="1345" spans="1:10">
      <c r="A1345" s="79"/>
      <c r="B1345" s="46" t="s">
        <v>103</v>
      </c>
      <c r="C1345" s="1">
        <v>11</v>
      </c>
      <c r="D1345" s="5">
        <v>1.8</v>
      </c>
      <c r="E1345" s="5"/>
      <c r="F1345" s="5">
        <v>0.75</v>
      </c>
      <c r="G1345" s="4">
        <f t="shared" si="92"/>
        <v>14.850000000000001</v>
      </c>
      <c r="H1345" s="1" t="s">
        <v>10</v>
      </c>
      <c r="I1345" s="9"/>
      <c r="J1345" s="4"/>
    </row>
    <row r="1346" spans="1:10">
      <c r="A1346" s="79"/>
      <c r="B1346" s="46" t="s">
        <v>104</v>
      </c>
      <c r="C1346" s="1">
        <v>2</v>
      </c>
      <c r="D1346" s="5">
        <v>1.5</v>
      </c>
      <c r="E1346" s="5"/>
      <c r="F1346" s="5">
        <v>0.75</v>
      </c>
      <c r="G1346" s="4">
        <f t="shared" si="92"/>
        <v>2.25</v>
      </c>
      <c r="H1346" s="1" t="s">
        <v>10</v>
      </c>
      <c r="I1346" s="9"/>
      <c r="J1346" s="4"/>
    </row>
    <row r="1347" spans="1:10">
      <c r="A1347" s="79"/>
      <c r="B1347" s="46" t="s">
        <v>105</v>
      </c>
      <c r="C1347" s="1">
        <v>2</v>
      </c>
      <c r="D1347" s="5">
        <v>1.2</v>
      </c>
      <c r="E1347" s="5"/>
      <c r="F1347" s="5">
        <v>0.75</v>
      </c>
      <c r="G1347" s="4">
        <f t="shared" si="92"/>
        <v>1.7999999999999998</v>
      </c>
      <c r="H1347" s="1" t="s">
        <v>10</v>
      </c>
      <c r="I1347" s="9"/>
      <c r="J1347" s="4"/>
    </row>
    <row r="1348" spans="1:10">
      <c r="A1348" s="79"/>
      <c r="B1348" s="46" t="s">
        <v>444</v>
      </c>
      <c r="C1348" s="1">
        <v>1</v>
      </c>
      <c r="D1348" s="5">
        <v>1.2</v>
      </c>
      <c r="E1348" s="5"/>
      <c r="F1348" s="5">
        <v>0.6</v>
      </c>
      <c r="G1348" s="4">
        <f t="shared" si="92"/>
        <v>0.72</v>
      </c>
      <c r="H1348" s="1" t="s">
        <v>10</v>
      </c>
      <c r="I1348" s="9"/>
      <c r="J1348" s="4"/>
    </row>
    <row r="1349" spans="1:10">
      <c r="A1349" s="79"/>
      <c r="B1349" s="46" t="s">
        <v>108</v>
      </c>
      <c r="C1349" s="1">
        <v>5</v>
      </c>
      <c r="D1349" s="5">
        <v>0.6</v>
      </c>
      <c r="E1349" s="5"/>
      <c r="F1349" s="83">
        <v>0.6</v>
      </c>
      <c r="G1349" s="4">
        <f t="shared" si="92"/>
        <v>1.7999999999999998</v>
      </c>
      <c r="H1349" s="1" t="s">
        <v>10</v>
      </c>
      <c r="I1349" s="9"/>
      <c r="J1349" s="4"/>
    </row>
    <row r="1350" spans="1:10">
      <c r="A1350" s="79"/>
      <c r="B1350" s="46" t="s">
        <v>600</v>
      </c>
      <c r="C1350" s="1">
        <v>1</v>
      </c>
      <c r="D1350" s="5">
        <v>4.7699999999999996</v>
      </c>
      <c r="E1350" s="5"/>
      <c r="F1350" s="83">
        <v>2.2200000000000002</v>
      </c>
      <c r="G1350" s="4">
        <f t="shared" si="92"/>
        <v>10.589399999999999</v>
      </c>
      <c r="H1350" s="1" t="s">
        <v>10</v>
      </c>
      <c r="I1350" s="9"/>
      <c r="J1350" s="4"/>
    </row>
    <row r="1351" spans="1:10">
      <c r="A1351" s="79"/>
      <c r="B1351" s="46" t="s">
        <v>601</v>
      </c>
      <c r="C1351" s="1">
        <v>1</v>
      </c>
      <c r="D1351" s="5">
        <v>3.3370000000000002</v>
      </c>
      <c r="E1351" s="5"/>
      <c r="F1351" s="83">
        <v>3.22</v>
      </c>
      <c r="G1351" s="4">
        <f>C1351*D1351*F1351</f>
        <v>10.745140000000001</v>
      </c>
      <c r="H1351" s="1" t="s">
        <v>10</v>
      </c>
      <c r="I1351" s="9"/>
      <c r="J1351" s="4"/>
    </row>
    <row r="1352" spans="1:10">
      <c r="A1352" s="79"/>
      <c r="B1352" s="46"/>
      <c r="C1352" s="1"/>
      <c r="D1352" s="5"/>
      <c r="E1352" s="5"/>
      <c r="F1352" s="83"/>
      <c r="G1352" s="4"/>
      <c r="H1352" s="1"/>
      <c r="I1352" s="9"/>
      <c r="J1352" s="4"/>
    </row>
    <row r="1353" spans="1:10">
      <c r="A1353" s="79"/>
      <c r="B1353" s="46"/>
      <c r="C1353" s="1"/>
      <c r="D1353" s="5"/>
      <c r="E1353" s="5"/>
      <c r="F1353" s="34" t="s">
        <v>11</v>
      </c>
      <c r="G1353" s="53">
        <f>SUM(G1342:G1352)</f>
        <v>71.059539999999998</v>
      </c>
      <c r="H1353" s="50" t="s">
        <v>17</v>
      </c>
      <c r="I1353" s="9"/>
      <c r="J1353" s="4"/>
    </row>
    <row r="1354" spans="1:10">
      <c r="A1354" s="79"/>
      <c r="B1354" s="9"/>
      <c r="C1354" s="1"/>
      <c r="D1354" s="5"/>
      <c r="F1354" s="5" t="s">
        <v>27</v>
      </c>
      <c r="G1354" s="4">
        <f>G1353*21</f>
        <v>1492.2503400000001</v>
      </c>
      <c r="H1354" s="1" t="s">
        <v>401</v>
      </c>
      <c r="I1354" s="9"/>
      <c r="J1354" s="4"/>
    </row>
    <row r="1355" spans="1:10">
      <c r="A1355" s="79"/>
      <c r="C1355" s="1"/>
      <c r="D1355" s="1"/>
      <c r="E1355" s="1"/>
      <c r="F1355" s="56" t="s">
        <v>13</v>
      </c>
      <c r="G1355" s="27">
        <f>ROUNDUP(G1354,0)</f>
        <v>1493</v>
      </c>
      <c r="H1355" s="28" t="s">
        <v>401</v>
      </c>
      <c r="I1355" s="9"/>
      <c r="J1355" s="4"/>
    </row>
    <row r="1356" spans="1:10">
      <c r="A1356" s="79"/>
      <c r="C1356" s="1"/>
      <c r="D1356" s="1"/>
      <c r="E1356" s="1"/>
      <c r="F1356" s="1"/>
      <c r="G1356" s="33"/>
      <c r="H1356" s="24"/>
      <c r="I1356" s="9"/>
      <c r="J1356" s="4"/>
    </row>
    <row r="1357" spans="1:10">
      <c r="A1357" s="79"/>
      <c r="B1357" s="15" t="s">
        <v>445</v>
      </c>
      <c r="C1357" s="31"/>
      <c r="D1357" s="31"/>
      <c r="E1357" s="31"/>
      <c r="F1357" s="31"/>
      <c r="H1357" s="31"/>
      <c r="I1357" s="9"/>
      <c r="J1357" s="4"/>
    </row>
    <row r="1358" spans="1:10">
      <c r="A1358" s="79"/>
      <c r="B1358" s="46" t="s">
        <v>100</v>
      </c>
      <c r="C1358" s="1">
        <v>4</v>
      </c>
      <c r="D1358" s="5">
        <v>1.8</v>
      </c>
      <c r="E1358" s="1"/>
      <c r="F1358" s="5">
        <v>1.5</v>
      </c>
      <c r="G1358" s="4">
        <f>C1358*D1358*F1358</f>
        <v>10.8</v>
      </c>
      <c r="H1358" s="1" t="s">
        <v>17</v>
      </c>
      <c r="I1358" s="9"/>
      <c r="J1358" s="4"/>
    </row>
    <row r="1359" spans="1:10">
      <c r="A1359" s="79"/>
      <c r="B1359" s="46" t="s">
        <v>102</v>
      </c>
      <c r="C1359" s="1">
        <v>2</v>
      </c>
      <c r="D1359" s="5">
        <v>1.2</v>
      </c>
      <c r="E1359" s="1"/>
      <c r="F1359" s="5">
        <v>1.5</v>
      </c>
      <c r="G1359" s="4">
        <f t="shared" ref="G1359:G1366" si="93">C1359*D1359*F1359</f>
        <v>3.5999999999999996</v>
      </c>
      <c r="H1359" s="1" t="s">
        <v>10</v>
      </c>
      <c r="I1359" s="9"/>
      <c r="J1359" s="4"/>
    </row>
    <row r="1360" spans="1:10">
      <c r="A1360" s="79"/>
      <c r="B1360" s="46" t="s">
        <v>446</v>
      </c>
      <c r="C1360" s="1">
        <v>2</v>
      </c>
      <c r="D1360" s="5">
        <v>1.2</v>
      </c>
      <c r="E1360" s="1"/>
      <c r="F1360" s="5">
        <v>1.5</v>
      </c>
      <c r="G1360" s="4">
        <f t="shared" si="93"/>
        <v>3.5999999999999996</v>
      </c>
      <c r="H1360" s="1" t="s">
        <v>10</v>
      </c>
      <c r="I1360" s="9"/>
      <c r="J1360" s="4"/>
    </row>
    <row r="1361" spans="1:10">
      <c r="A1361" s="79"/>
      <c r="B1361" s="46" t="s">
        <v>447</v>
      </c>
      <c r="C1361" s="1">
        <v>2</v>
      </c>
      <c r="D1361" s="5">
        <v>0.45</v>
      </c>
      <c r="E1361" s="1"/>
      <c r="F1361" s="5">
        <v>2.4500000000000002</v>
      </c>
      <c r="G1361" s="4">
        <f t="shared" si="93"/>
        <v>2.2050000000000001</v>
      </c>
      <c r="H1361" s="1" t="s">
        <v>10</v>
      </c>
      <c r="I1361" s="9"/>
      <c r="J1361" s="4"/>
    </row>
    <row r="1362" spans="1:10">
      <c r="A1362" s="79"/>
      <c r="B1362" s="46" t="s">
        <v>103</v>
      </c>
      <c r="C1362" s="1">
        <v>16</v>
      </c>
      <c r="D1362" s="5">
        <v>1.8</v>
      </c>
      <c r="E1362" s="1"/>
      <c r="F1362" s="5">
        <v>0.75</v>
      </c>
      <c r="G1362" s="4">
        <f t="shared" si="93"/>
        <v>21.6</v>
      </c>
      <c r="H1362" s="1" t="s">
        <v>10</v>
      </c>
      <c r="I1362" s="9"/>
      <c r="J1362" s="4"/>
    </row>
    <row r="1363" spans="1:10">
      <c r="A1363" s="79"/>
      <c r="B1363" s="46" t="s">
        <v>448</v>
      </c>
      <c r="C1363" s="1">
        <v>7</v>
      </c>
      <c r="D1363" s="5">
        <v>1.8</v>
      </c>
      <c r="E1363" s="1"/>
      <c r="F1363" s="5">
        <v>0.75</v>
      </c>
      <c r="G1363" s="4">
        <f t="shared" si="93"/>
        <v>9.4499999999999993</v>
      </c>
      <c r="H1363" s="1" t="s">
        <v>10</v>
      </c>
      <c r="I1363" s="9"/>
      <c r="J1363" s="4"/>
    </row>
    <row r="1364" spans="1:10">
      <c r="A1364" s="79"/>
      <c r="B1364" s="46" t="s">
        <v>106</v>
      </c>
      <c r="C1364" s="1">
        <v>3</v>
      </c>
      <c r="D1364" s="5">
        <v>0.9</v>
      </c>
      <c r="E1364" s="1"/>
      <c r="F1364" s="5">
        <v>0.6</v>
      </c>
      <c r="G1364" s="4">
        <f t="shared" si="93"/>
        <v>1.62</v>
      </c>
      <c r="H1364" s="1" t="s">
        <v>10</v>
      </c>
      <c r="I1364" s="9"/>
      <c r="J1364" s="4"/>
    </row>
    <row r="1365" spans="1:10">
      <c r="A1365" s="79"/>
      <c r="B1365" s="46" t="s">
        <v>107</v>
      </c>
      <c r="C1365" s="1">
        <v>5</v>
      </c>
      <c r="D1365" s="5">
        <v>0.75</v>
      </c>
      <c r="E1365" s="1"/>
      <c r="F1365" s="5">
        <v>0.6</v>
      </c>
      <c r="G1365" s="4">
        <f t="shared" si="93"/>
        <v>2.25</v>
      </c>
      <c r="H1365" s="1" t="s">
        <v>10</v>
      </c>
      <c r="I1365" s="9"/>
      <c r="J1365" s="4"/>
    </row>
    <row r="1366" spans="1:10">
      <c r="A1366" s="79"/>
      <c r="B1366" s="46" t="s">
        <v>108</v>
      </c>
      <c r="C1366" s="1">
        <v>3</v>
      </c>
      <c r="D1366" s="5">
        <v>0.6</v>
      </c>
      <c r="E1366" s="1"/>
      <c r="F1366" s="5">
        <v>0.6</v>
      </c>
      <c r="G1366" s="4">
        <f t="shared" si="93"/>
        <v>1.0799999999999998</v>
      </c>
      <c r="H1366" s="1" t="s">
        <v>10</v>
      </c>
      <c r="I1366" s="9"/>
      <c r="J1366" s="4"/>
    </row>
    <row r="1367" spans="1:10">
      <c r="A1367" s="79"/>
      <c r="C1367" s="1"/>
      <c r="D1367" s="5"/>
      <c r="E1367" s="5"/>
      <c r="F1367" s="5"/>
      <c r="G1367" s="4"/>
      <c r="H1367" s="1"/>
      <c r="I1367" s="9"/>
      <c r="J1367" s="4"/>
    </row>
    <row r="1368" spans="1:10">
      <c r="A1368" s="79"/>
      <c r="C1368" s="1"/>
      <c r="D1368" s="5"/>
      <c r="E1368" s="5"/>
      <c r="F1368" s="34" t="s">
        <v>11</v>
      </c>
      <c r="G1368" s="53">
        <f>SUM(G1358:G1367)</f>
        <v>56.204999999999991</v>
      </c>
      <c r="H1368" s="50" t="s">
        <v>17</v>
      </c>
      <c r="I1368" s="9"/>
      <c r="J1368" s="4"/>
    </row>
    <row r="1369" spans="1:10">
      <c r="A1369" s="79"/>
      <c r="C1369" s="1"/>
      <c r="D1369" s="5"/>
      <c r="F1369" s="5" t="s">
        <v>27</v>
      </c>
      <c r="G1369" s="4">
        <f>G1368*21</f>
        <v>1180.3049999999998</v>
      </c>
      <c r="H1369" s="1" t="s">
        <v>401</v>
      </c>
      <c r="I1369" s="9"/>
      <c r="J1369" s="4"/>
    </row>
    <row r="1370" spans="1:10">
      <c r="A1370" s="79"/>
      <c r="C1370" s="1"/>
      <c r="D1370" s="1"/>
      <c r="E1370" s="1"/>
      <c r="F1370" s="56" t="s">
        <v>13</v>
      </c>
      <c r="G1370" s="27">
        <f>ROUNDUP(G1369,0)</f>
        <v>1181</v>
      </c>
      <c r="H1370" s="28" t="s">
        <v>401</v>
      </c>
      <c r="I1370" s="9"/>
      <c r="J1370" s="4"/>
    </row>
    <row r="1371" spans="1:10">
      <c r="A1371" s="79"/>
      <c r="C1371" s="1"/>
      <c r="D1371" s="1"/>
      <c r="E1371" s="1"/>
      <c r="F1371" s="1"/>
      <c r="G1371" s="33"/>
      <c r="H1371" s="24"/>
      <c r="I1371" s="9"/>
      <c r="J1371" s="4"/>
    </row>
    <row r="1372" spans="1:10">
      <c r="A1372" s="79"/>
      <c r="B1372" s="15" t="s">
        <v>57</v>
      </c>
      <c r="C1372" s="1"/>
      <c r="D1372" s="5"/>
      <c r="E1372" s="5"/>
      <c r="F1372" s="5"/>
      <c r="G1372" s="4"/>
      <c r="H1372" s="1"/>
      <c r="I1372" s="9"/>
      <c r="J1372" s="4"/>
    </row>
    <row r="1373" spans="1:10">
      <c r="A1373" s="79"/>
      <c r="B1373" s="46" t="s">
        <v>100</v>
      </c>
      <c r="C1373" s="1">
        <v>6</v>
      </c>
      <c r="D1373" s="5">
        <v>1.8</v>
      </c>
      <c r="E1373" s="1"/>
      <c r="F1373" s="5">
        <v>1.5</v>
      </c>
      <c r="G1373" s="4">
        <f>C1373*D1373*F1373</f>
        <v>16.200000000000003</v>
      </c>
      <c r="H1373" s="1" t="s">
        <v>17</v>
      </c>
      <c r="I1373" s="9"/>
      <c r="J1373" s="4"/>
    </row>
    <row r="1374" spans="1:10">
      <c r="A1374" s="79"/>
      <c r="B1374" s="46" t="s">
        <v>107</v>
      </c>
      <c r="C1374" s="1">
        <v>7</v>
      </c>
      <c r="D1374" s="5">
        <v>0.6</v>
      </c>
      <c r="E1374" s="1"/>
      <c r="F1374" s="5">
        <v>1.5</v>
      </c>
      <c r="G1374" s="4">
        <f>C1374*D1374*F1374</f>
        <v>6.3000000000000007</v>
      </c>
      <c r="H1374" s="1" t="s">
        <v>10</v>
      </c>
      <c r="I1374" s="9"/>
      <c r="J1374" s="4"/>
    </row>
    <row r="1375" spans="1:10">
      <c r="A1375" s="79"/>
      <c r="B1375" s="46" t="s">
        <v>108</v>
      </c>
      <c r="C1375" s="1">
        <v>4</v>
      </c>
      <c r="D1375" s="5">
        <v>0.6</v>
      </c>
      <c r="E1375" s="1"/>
      <c r="F1375" s="5">
        <v>0.6</v>
      </c>
      <c r="G1375" s="4">
        <f>C1375*D1375*F1375</f>
        <v>1.44</v>
      </c>
      <c r="H1375" s="1" t="s">
        <v>10</v>
      </c>
      <c r="I1375" s="9"/>
      <c r="J1375" s="4"/>
    </row>
    <row r="1376" spans="1:10">
      <c r="A1376" s="79"/>
      <c r="C1376" s="1"/>
      <c r="D1376" s="5"/>
      <c r="E1376" s="5"/>
      <c r="F1376" s="5"/>
      <c r="G1376" s="4"/>
      <c r="H1376" s="1"/>
      <c r="I1376" s="9"/>
      <c r="J1376" s="4"/>
    </row>
    <row r="1377" spans="1:10">
      <c r="A1377" s="79"/>
      <c r="C1377" s="1"/>
      <c r="D1377" s="5"/>
      <c r="E1377" s="5"/>
      <c r="F1377" s="34" t="s">
        <v>11</v>
      </c>
      <c r="G1377" s="53">
        <f>SUM(G1373:G1376)</f>
        <v>23.940000000000005</v>
      </c>
      <c r="H1377" s="50" t="s">
        <v>17</v>
      </c>
      <c r="I1377" s="9"/>
      <c r="J1377" s="4"/>
    </row>
    <row r="1378" spans="1:10">
      <c r="A1378" s="79"/>
      <c r="C1378" s="1"/>
      <c r="D1378" s="5"/>
      <c r="F1378" s="5" t="s">
        <v>27</v>
      </c>
      <c r="G1378" s="4">
        <f>G1377*21</f>
        <v>502.74000000000012</v>
      </c>
      <c r="H1378" s="1" t="s">
        <v>401</v>
      </c>
      <c r="I1378" s="9"/>
      <c r="J1378" s="4"/>
    </row>
    <row r="1379" spans="1:10">
      <c r="A1379" s="79"/>
      <c r="C1379" s="1"/>
      <c r="D1379" s="1"/>
      <c r="E1379" s="1"/>
      <c r="F1379" s="56" t="s">
        <v>13</v>
      </c>
      <c r="G1379" s="27">
        <f>ROUNDUP(G1378,0)</f>
        <v>503</v>
      </c>
      <c r="H1379" s="28" t="s">
        <v>401</v>
      </c>
      <c r="I1379" s="9"/>
      <c r="J1379" s="4"/>
    </row>
    <row r="1380" spans="1:10">
      <c r="A1380" s="79"/>
      <c r="C1380" s="1"/>
      <c r="D1380" s="1"/>
      <c r="E1380" s="1"/>
      <c r="F1380" s="1"/>
      <c r="G1380" s="33"/>
      <c r="H1380" s="24"/>
      <c r="I1380" s="9"/>
      <c r="J1380" s="4"/>
    </row>
    <row r="1381" spans="1:10">
      <c r="A1381" s="18">
        <f>A1340+1</f>
        <v>44</v>
      </c>
      <c r="B1381" s="9" t="s">
        <v>602</v>
      </c>
      <c r="C1381" s="48"/>
      <c r="D1381" s="48"/>
      <c r="E1381" s="48"/>
      <c r="F1381" s="1"/>
      <c r="G1381" s="33"/>
      <c r="H1381" s="24"/>
      <c r="I1381" s="9"/>
      <c r="J1381" s="4"/>
    </row>
    <row r="1382" spans="1:10">
      <c r="A1382" s="18"/>
      <c r="B1382" s="15" t="s">
        <v>56</v>
      </c>
      <c r="C1382" s="48"/>
      <c r="D1382" s="48"/>
      <c r="E1382" s="48"/>
      <c r="F1382" s="1"/>
      <c r="G1382" s="33"/>
      <c r="H1382" s="24"/>
      <c r="I1382" s="9"/>
      <c r="J1382" s="4"/>
    </row>
    <row r="1383" spans="1:10">
      <c r="A1383" s="79"/>
      <c r="B1383" s="46" t="s">
        <v>458</v>
      </c>
      <c r="C1383" s="1">
        <v>2</v>
      </c>
      <c r="D1383" s="5">
        <v>1.8</v>
      </c>
      <c r="E1383" s="5"/>
      <c r="F1383" s="5">
        <v>2.4500000000000002</v>
      </c>
      <c r="G1383" s="4">
        <f>C1383*D1383*F1383</f>
        <v>8.82</v>
      </c>
      <c r="H1383" s="1" t="s">
        <v>17</v>
      </c>
      <c r="I1383" s="9"/>
      <c r="J1383" s="4"/>
    </row>
    <row r="1384" spans="1:10">
      <c r="A1384" s="79"/>
      <c r="C1384" s="1"/>
      <c r="D1384" s="1"/>
      <c r="E1384" s="1"/>
      <c r="F1384" s="56" t="s">
        <v>13</v>
      </c>
      <c r="G1384" s="27">
        <f>ROUNDUP(G1383,0)</f>
        <v>9</v>
      </c>
      <c r="H1384" s="28" t="s">
        <v>17</v>
      </c>
      <c r="I1384" s="9"/>
      <c r="J1384" s="4"/>
    </row>
    <row r="1385" spans="1:10">
      <c r="A1385" s="79"/>
      <c r="C1385" s="1"/>
      <c r="D1385" s="1"/>
      <c r="E1385" s="1"/>
      <c r="F1385" s="1"/>
      <c r="G1385" s="33"/>
      <c r="H1385" s="24"/>
      <c r="I1385" s="9"/>
      <c r="J1385" s="4"/>
    </row>
    <row r="1386" spans="1:10">
      <c r="A1386" s="18">
        <f>A1381+1</f>
        <v>45</v>
      </c>
      <c r="B1386" s="9" t="s">
        <v>110</v>
      </c>
      <c r="C1386" s="48"/>
      <c r="D1386" s="48"/>
      <c r="E1386" s="48"/>
      <c r="F1386" s="1"/>
      <c r="G1386" s="33"/>
      <c r="H1386" s="24"/>
      <c r="I1386" s="9"/>
      <c r="J1386" s="4"/>
    </row>
    <row r="1387" spans="1:10">
      <c r="A1387" s="18"/>
      <c r="B1387" s="15" t="s">
        <v>56</v>
      </c>
      <c r="C1387" s="48"/>
      <c r="D1387" s="48"/>
      <c r="E1387" s="48"/>
      <c r="F1387" s="1"/>
      <c r="G1387" s="33"/>
      <c r="H1387" s="24"/>
      <c r="I1387" s="9"/>
      <c r="J1387" s="4"/>
    </row>
    <row r="1388" spans="1:10">
      <c r="A1388" s="79"/>
      <c r="B1388" s="46"/>
      <c r="C1388" s="1">
        <v>27</v>
      </c>
      <c r="D1388" s="5">
        <v>0.9</v>
      </c>
      <c r="E1388" s="5"/>
      <c r="F1388" s="5">
        <v>0.9</v>
      </c>
      <c r="G1388" s="4">
        <f t="shared" ref="G1388:G1393" si="94">C1388*D1388*F1388</f>
        <v>21.87</v>
      </c>
      <c r="H1388" s="1" t="s">
        <v>17</v>
      </c>
      <c r="I1388" s="9"/>
      <c r="J1388" s="4"/>
    </row>
    <row r="1389" spans="1:10">
      <c r="A1389" s="79"/>
      <c r="B1389" s="46"/>
      <c r="C1389" s="1">
        <v>25</v>
      </c>
      <c r="D1389" s="5">
        <v>0.9</v>
      </c>
      <c r="E1389" s="5"/>
      <c r="F1389" s="5">
        <v>0.9</v>
      </c>
      <c r="G1389" s="4">
        <f t="shared" si="94"/>
        <v>20.25</v>
      </c>
      <c r="H1389" s="1" t="s">
        <v>10</v>
      </c>
      <c r="I1389" s="9"/>
      <c r="J1389" s="4"/>
    </row>
    <row r="1390" spans="1:10">
      <c r="A1390" s="79"/>
      <c r="B1390" s="46"/>
      <c r="C1390" s="1">
        <v>1</v>
      </c>
      <c r="D1390" s="5">
        <v>2.9</v>
      </c>
      <c r="E1390" s="5"/>
      <c r="F1390" s="5">
        <v>0.9</v>
      </c>
      <c r="G1390" s="4">
        <f t="shared" si="94"/>
        <v>2.61</v>
      </c>
      <c r="H1390" s="1" t="s">
        <v>10</v>
      </c>
      <c r="I1390" s="9"/>
      <c r="J1390" s="4"/>
    </row>
    <row r="1391" spans="1:10">
      <c r="A1391" s="79"/>
      <c r="B1391" s="46"/>
      <c r="C1391" s="1">
        <v>1</v>
      </c>
      <c r="D1391" s="5">
        <v>1.575</v>
      </c>
      <c r="E1391" s="5"/>
      <c r="F1391" s="5">
        <v>0.9</v>
      </c>
      <c r="G1391" s="4">
        <f t="shared" si="94"/>
        <v>1.4175</v>
      </c>
      <c r="H1391" s="1" t="s">
        <v>10</v>
      </c>
      <c r="I1391" s="9"/>
      <c r="J1391" s="4"/>
    </row>
    <row r="1392" spans="1:10">
      <c r="A1392" s="79"/>
      <c r="B1392" s="46"/>
      <c r="C1392" s="1">
        <v>1</v>
      </c>
      <c r="D1392" s="5">
        <v>1.575</v>
      </c>
      <c r="E1392" s="5"/>
      <c r="F1392" s="5">
        <v>0.9</v>
      </c>
      <c r="G1392" s="4">
        <f t="shared" si="94"/>
        <v>1.4175</v>
      </c>
      <c r="H1392" s="1" t="s">
        <v>10</v>
      </c>
      <c r="I1392" s="9"/>
      <c r="J1392" s="4"/>
    </row>
    <row r="1393" spans="1:10">
      <c r="A1393" s="79"/>
      <c r="B1393" s="46" t="s">
        <v>626</v>
      </c>
      <c r="C1393" s="1">
        <v>1</v>
      </c>
      <c r="D1393" s="5">
        <v>40</v>
      </c>
      <c r="E1393" s="5"/>
      <c r="F1393" s="5">
        <v>0.9</v>
      </c>
      <c r="G1393" s="4">
        <f t="shared" si="94"/>
        <v>36</v>
      </c>
      <c r="H1393" s="1"/>
      <c r="I1393" s="9"/>
      <c r="J1393" s="4"/>
    </row>
    <row r="1394" spans="1:10">
      <c r="A1394" s="79"/>
      <c r="B1394" s="9"/>
      <c r="C1394" s="1"/>
      <c r="D1394" s="5"/>
      <c r="E1394" s="5"/>
      <c r="F1394" s="5"/>
      <c r="G1394" s="4"/>
      <c r="H1394" s="1"/>
      <c r="I1394" s="9"/>
      <c r="J1394" s="4"/>
    </row>
    <row r="1395" spans="1:10">
      <c r="A1395" s="79"/>
      <c r="B1395" s="9"/>
      <c r="C1395" s="1"/>
      <c r="D1395" s="5"/>
      <c r="E1395" s="5"/>
      <c r="F1395" s="34" t="s">
        <v>11</v>
      </c>
      <c r="G1395" s="53">
        <f>SUM(G1388:G1394)</f>
        <v>83.564999999999998</v>
      </c>
      <c r="H1395" s="50" t="s">
        <v>17</v>
      </c>
      <c r="I1395" s="9"/>
      <c r="J1395" s="4"/>
    </row>
    <row r="1396" spans="1:10">
      <c r="A1396" s="79"/>
      <c r="B1396" s="9"/>
      <c r="C1396" s="1"/>
      <c r="D1396" s="5"/>
      <c r="F1396" s="5" t="s">
        <v>111</v>
      </c>
      <c r="G1396" s="4">
        <f>G1395*10</f>
        <v>835.65</v>
      </c>
      <c r="H1396" s="1" t="s">
        <v>401</v>
      </c>
      <c r="I1396" s="9"/>
      <c r="J1396" s="4"/>
    </row>
    <row r="1397" spans="1:10">
      <c r="A1397" s="79"/>
      <c r="C1397" s="1"/>
      <c r="D1397" s="1"/>
      <c r="E1397" s="1"/>
      <c r="F1397" s="56" t="s">
        <v>13</v>
      </c>
      <c r="G1397" s="27">
        <f>ROUNDUP(G1396,0)</f>
        <v>836</v>
      </c>
      <c r="H1397" s="28" t="s">
        <v>401</v>
      </c>
      <c r="I1397" s="9"/>
      <c r="J1397" s="4"/>
    </row>
    <row r="1398" spans="1:10">
      <c r="A1398" s="79"/>
      <c r="C1398" s="1"/>
      <c r="D1398" s="1"/>
      <c r="E1398" s="1"/>
      <c r="F1398" s="1"/>
      <c r="G1398" s="33"/>
      <c r="H1398" s="24"/>
      <c r="I1398" s="9"/>
      <c r="J1398" s="4"/>
    </row>
    <row r="1399" spans="1:10">
      <c r="A1399" s="79"/>
      <c r="B1399" s="15" t="s">
        <v>445</v>
      </c>
      <c r="C1399" s="48"/>
      <c r="D1399" s="48"/>
      <c r="E1399" s="48"/>
      <c r="F1399" s="1"/>
      <c r="G1399" s="33"/>
      <c r="H1399" s="24"/>
      <c r="I1399" s="9"/>
      <c r="J1399" s="4"/>
    </row>
    <row r="1400" spans="1:10">
      <c r="A1400" s="79"/>
      <c r="B1400" s="46"/>
      <c r="C1400" s="1">
        <v>25</v>
      </c>
      <c r="D1400" s="5">
        <v>0.9</v>
      </c>
      <c r="E1400" s="5"/>
      <c r="F1400" s="5">
        <v>0.9</v>
      </c>
      <c r="G1400" s="4">
        <f>C1400*D1400*F1400</f>
        <v>20.25</v>
      </c>
      <c r="H1400" s="1" t="s">
        <v>17</v>
      </c>
      <c r="I1400" s="9"/>
      <c r="J1400" s="4"/>
    </row>
    <row r="1401" spans="1:10">
      <c r="A1401" s="79"/>
      <c r="B1401" s="46"/>
      <c r="C1401" s="1">
        <v>1</v>
      </c>
      <c r="D1401" s="5">
        <v>2</v>
      </c>
      <c r="E1401" s="5"/>
      <c r="F1401" s="5">
        <v>0.9</v>
      </c>
      <c r="G1401" s="4">
        <f>C1401*D1401*F1401</f>
        <v>1.8</v>
      </c>
      <c r="H1401" s="1" t="s">
        <v>10</v>
      </c>
      <c r="I1401" s="9"/>
      <c r="J1401" s="4"/>
    </row>
    <row r="1402" spans="1:10">
      <c r="A1402" s="79"/>
      <c r="B1402" s="9"/>
      <c r="C1402" s="1"/>
      <c r="D1402" s="5"/>
      <c r="E1402" s="5"/>
      <c r="F1402" s="5"/>
      <c r="G1402" s="4"/>
      <c r="H1402" s="1"/>
      <c r="I1402" s="9"/>
      <c r="J1402" s="4"/>
    </row>
    <row r="1403" spans="1:10">
      <c r="A1403" s="79"/>
      <c r="B1403" s="9"/>
      <c r="C1403" s="1"/>
      <c r="D1403" s="5"/>
      <c r="E1403" s="5"/>
      <c r="F1403" s="34" t="s">
        <v>11</v>
      </c>
      <c r="G1403" s="53">
        <f>SUM(G1400:G1402)</f>
        <v>22.05</v>
      </c>
      <c r="H1403" s="50" t="s">
        <v>17</v>
      </c>
      <c r="I1403" s="9"/>
      <c r="J1403" s="4"/>
    </row>
    <row r="1404" spans="1:10">
      <c r="A1404" s="79"/>
      <c r="B1404" s="9"/>
      <c r="C1404" s="1"/>
      <c r="D1404" s="5"/>
      <c r="F1404" s="5" t="s">
        <v>111</v>
      </c>
      <c r="G1404" s="4">
        <f>G1403*10</f>
        <v>220.5</v>
      </c>
      <c r="H1404" s="1" t="s">
        <v>401</v>
      </c>
      <c r="I1404" s="9"/>
      <c r="J1404" s="4"/>
    </row>
    <row r="1405" spans="1:10">
      <c r="A1405" s="79"/>
      <c r="C1405" s="1"/>
      <c r="D1405" s="1"/>
      <c r="E1405" s="1"/>
      <c r="F1405" s="56" t="s">
        <v>13</v>
      </c>
      <c r="G1405" s="27">
        <f>ROUNDUP(G1404,0)</f>
        <v>221</v>
      </c>
      <c r="H1405" s="28" t="s">
        <v>401</v>
      </c>
      <c r="I1405" s="9"/>
      <c r="J1405" s="4"/>
    </row>
    <row r="1406" spans="1:10">
      <c r="A1406" s="79"/>
      <c r="C1406" s="1"/>
      <c r="D1406" s="1"/>
      <c r="E1406" s="1"/>
      <c r="F1406" s="1"/>
      <c r="G1406" s="33"/>
      <c r="H1406" s="24"/>
      <c r="I1406" s="9"/>
      <c r="J1406" s="4"/>
    </row>
    <row r="1407" spans="1:10">
      <c r="A1407" s="79"/>
      <c r="B1407" s="15" t="s">
        <v>57</v>
      </c>
      <c r="C1407" s="48"/>
      <c r="D1407" s="48"/>
      <c r="E1407" s="48"/>
      <c r="F1407" s="1"/>
      <c r="G1407" s="33"/>
      <c r="H1407" s="24"/>
      <c r="I1407" s="9"/>
      <c r="J1407" s="4"/>
    </row>
    <row r="1408" spans="1:10">
      <c r="A1408" s="79"/>
      <c r="B1408" s="46"/>
      <c r="C1408" s="1">
        <v>25</v>
      </c>
      <c r="D1408" s="5">
        <v>0.9</v>
      </c>
      <c r="E1408" s="5"/>
      <c r="F1408" s="5">
        <v>0.9</v>
      </c>
      <c r="G1408" s="4">
        <f>C1408*D1408*F1408</f>
        <v>20.25</v>
      </c>
      <c r="H1408" s="1" t="s">
        <v>17</v>
      </c>
      <c r="I1408" s="9"/>
      <c r="J1408" s="4"/>
    </row>
    <row r="1409" spans="1:10">
      <c r="A1409" s="79"/>
      <c r="B1409" s="46"/>
      <c r="C1409" s="1">
        <v>1</v>
      </c>
      <c r="D1409" s="5">
        <v>2</v>
      </c>
      <c r="E1409" s="5"/>
      <c r="F1409" s="5">
        <v>0.9</v>
      </c>
      <c r="G1409" s="4">
        <f>C1409*D1409*F1409</f>
        <v>1.8</v>
      </c>
      <c r="H1409" s="1" t="s">
        <v>10</v>
      </c>
      <c r="I1409" s="9"/>
      <c r="J1409" s="4"/>
    </row>
    <row r="1410" spans="1:10">
      <c r="A1410" s="79"/>
      <c r="B1410" s="9"/>
      <c r="C1410" s="1"/>
      <c r="D1410" s="5"/>
      <c r="E1410" s="5"/>
      <c r="F1410" s="5"/>
      <c r="G1410" s="4"/>
      <c r="H1410" s="1"/>
      <c r="I1410" s="9"/>
      <c r="J1410" s="4"/>
    </row>
    <row r="1411" spans="1:10">
      <c r="A1411" s="79"/>
      <c r="B1411" s="9"/>
      <c r="C1411" s="1"/>
      <c r="D1411" s="5"/>
      <c r="E1411" s="5"/>
      <c r="F1411" s="34" t="s">
        <v>11</v>
      </c>
      <c r="G1411" s="53">
        <f>SUM(G1408:G1410)</f>
        <v>22.05</v>
      </c>
      <c r="H1411" s="50" t="s">
        <v>17</v>
      </c>
      <c r="I1411" s="9"/>
      <c r="J1411" s="4"/>
    </row>
    <row r="1412" spans="1:10">
      <c r="A1412" s="79"/>
      <c r="B1412" s="9"/>
      <c r="C1412" s="1"/>
      <c r="D1412" s="5"/>
      <c r="F1412" s="5" t="s">
        <v>111</v>
      </c>
      <c r="G1412" s="4">
        <f>G1411*10</f>
        <v>220.5</v>
      </c>
      <c r="H1412" s="1" t="s">
        <v>401</v>
      </c>
      <c r="I1412" s="9"/>
      <c r="J1412" s="4"/>
    </row>
    <row r="1413" spans="1:10">
      <c r="A1413" s="79"/>
      <c r="C1413" s="1"/>
      <c r="D1413" s="1"/>
      <c r="E1413" s="1"/>
      <c r="F1413" s="56" t="s">
        <v>13</v>
      </c>
      <c r="G1413" s="27">
        <f>ROUNDUP(G1412,0)</f>
        <v>221</v>
      </c>
      <c r="H1413" s="28" t="s">
        <v>401</v>
      </c>
      <c r="I1413" s="9"/>
      <c r="J1413" s="4"/>
    </row>
    <row r="1414" spans="1:10">
      <c r="A1414" s="79"/>
      <c r="C1414" s="1"/>
      <c r="D1414" s="1"/>
      <c r="E1414" s="1"/>
      <c r="F1414" s="1"/>
      <c r="G1414" s="33"/>
      <c r="H1414" s="24"/>
      <c r="I1414" s="9"/>
      <c r="J1414" s="4"/>
    </row>
    <row r="1415" spans="1:10">
      <c r="A1415" s="18">
        <f>A1386+1</f>
        <v>46</v>
      </c>
      <c r="B1415" s="9" t="s">
        <v>603</v>
      </c>
      <c r="C1415" s="74"/>
      <c r="D1415" s="74"/>
      <c r="E1415" s="74"/>
      <c r="F1415" s="74"/>
      <c r="H1415" s="31"/>
      <c r="I1415" s="9"/>
      <c r="J1415" s="4"/>
    </row>
    <row r="1416" spans="1:10">
      <c r="A1416" s="79"/>
      <c r="B1416" s="15" t="s">
        <v>445</v>
      </c>
      <c r="C1416" s="74"/>
      <c r="D1416" s="74"/>
      <c r="E1416" s="74"/>
      <c r="F1416" s="74"/>
      <c r="H1416" s="31"/>
      <c r="I1416" s="9"/>
      <c r="J1416" s="4"/>
    </row>
    <row r="1417" spans="1:10">
      <c r="A1417" s="79"/>
      <c r="B1417" s="46"/>
      <c r="C1417" s="1">
        <v>1</v>
      </c>
      <c r="D1417" s="5">
        <v>4.97</v>
      </c>
      <c r="E1417" s="2"/>
      <c r="F1417" s="5">
        <v>2.4500000000000002</v>
      </c>
      <c r="G1417" s="4">
        <f t="shared" ref="G1417:G1423" si="95">C1417*D1417*F1417</f>
        <v>12.176500000000001</v>
      </c>
      <c r="H1417" s="1" t="s">
        <v>17</v>
      </c>
      <c r="I1417" s="9"/>
      <c r="J1417" s="4"/>
    </row>
    <row r="1418" spans="1:10">
      <c r="A1418" s="79"/>
      <c r="B1418" s="46"/>
      <c r="C1418" s="1">
        <v>1</v>
      </c>
      <c r="D1418" s="5">
        <v>4.97</v>
      </c>
      <c r="E1418" s="2"/>
      <c r="F1418" s="5">
        <v>2.4500000000000002</v>
      </c>
      <c r="G1418" s="4">
        <f t="shared" si="95"/>
        <v>12.176500000000001</v>
      </c>
      <c r="H1418" s="1" t="s">
        <v>10</v>
      </c>
      <c r="I1418" s="9"/>
      <c r="J1418" s="4"/>
    </row>
    <row r="1419" spans="1:10">
      <c r="A1419" s="79"/>
      <c r="B1419" s="46"/>
      <c r="C1419" s="1">
        <v>1</v>
      </c>
      <c r="D1419" s="5">
        <v>3.43</v>
      </c>
      <c r="E1419" s="2"/>
      <c r="F1419" s="5">
        <v>2.4500000000000002</v>
      </c>
      <c r="G1419" s="4">
        <f t="shared" si="95"/>
        <v>8.4035000000000011</v>
      </c>
      <c r="H1419" s="1" t="s">
        <v>10</v>
      </c>
      <c r="I1419" s="9"/>
      <c r="J1419" s="4"/>
    </row>
    <row r="1420" spans="1:10">
      <c r="A1420" s="79"/>
      <c r="B1420" s="46"/>
      <c r="C1420" s="1">
        <v>1</v>
      </c>
      <c r="D1420" s="5">
        <v>1.35</v>
      </c>
      <c r="E1420" s="2"/>
      <c r="F1420" s="5">
        <v>2.4500000000000002</v>
      </c>
      <c r="G1420" s="4">
        <f t="shared" si="95"/>
        <v>3.3075000000000006</v>
      </c>
      <c r="H1420" s="1" t="s">
        <v>10</v>
      </c>
      <c r="I1420" s="9"/>
      <c r="J1420" s="4"/>
    </row>
    <row r="1421" spans="1:10">
      <c r="A1421" s="79"/>
      <c r="B1421" s="46"/>
      <c r="C1421" s="1">
        <v>1</v>
      </c>
      <c r="D1421" s="5">
        <v>20.125</v>
      </c>
      <c r="E1421" s="2"/>
      <c r="F1421" s="5">
        <v>2.4500000000000002</v>
      </c>
      <c r="G1421" s="4">
        <f t="shared" si="95"/>
        <v>49.306250000000006</v>
      </c>
      <c r="H1421" s="1" t="s">
        <v>10</v>
      </c>
      <c r="I1421" s="9"/>
      <c r="J1421" s="4"/>
    </row>
    <row r="1422" spans="1:10">
      <c r="A1422" s="79"/>
      <c r="B1422" s="46"/>
      <c r="C1422" s="1">
        <v>1</v>
      </c>
      <c r="D1422" s="5">
        <v>2.9</v>
      </c>
      <c r="E1422" s="2"/>
      <c r="F1422" s="5">
        <v>2.4500000000000002</v>
      </c>
      <c r="G1422" s="4">
        <f t="shared" si="95"/>
        <v>7.1050000000000004</v>
      </c>
      <c r="H1422" s="1" t="s">
        <v>10</v>
      </c>
      <c r="I1422" s="9"/>
      <c r="J1422" s="4"/>
    </row>
    <row r="1423" spans="1:10">
      <c r="A1423" s="79"/>
      <c r="B1423" s="46"/>
      <c r="C1423" s="1">
        <v>1</v>
      </c>
      <c r="D1423" s="5">
        <v>9.77</v>
      </c>
      <c r="E1423" s="2"/>
      <c r="F1423" s="5">
        <v>2.4500000000000002</v>
      </c>
      <c r="G1423" s="4">
        <f t="shared" si="95"/>
        <v>23.936500000000002</v>
      </c>
      <c r="H1423" s="1" t="s">
        <v>10</v>
      </c>
      <c r="I1423" s="9"/>
      <c r="J1423" s="4"/>
    </row>
    <row r="1424" spans="1:10">
      <c r="A1424" s="79"/>
      <c r="C1424" s="1"/>
      <c r="D1424" s="1"/>
      <c r="E1424" s="1"/>
      <c r="F1424" s="1"/>
      <c r="G1424" s="33"/>
      <c r="H1424" s="24"/>
      <c r="I1424" s="9"/>
      <c r="J1424" s="4"/>
    </row>
    <row r="1425" spans="1:10">
      <c r="A1425" s="79"/>
      <c r="C1425" s="1"/>
      <c r="D1425" s="1"/>
      <c r="E1425" s="1"/>
      <c r="F1425" s="100" t="s">
        <v>11</v>
      </c>
      <c r="G1425" s="53">
        <f>SUM(G1417:G1424)</f>
        <v>116.41175000000001</v>
      </c>
      <c r="H1425" s="50" t="s">
        <v>17</v>
      </c>
      <c r="I1425" s="9"/>
      <c r="J1425" s="4"/>
    </row>
    <row r="1426" spans="1:10">
      <c r="A1426" s="79"/>
      <c r="C1426" s="1"/>
      <c r="D1426" s="1"/>
      <c r="E1426" s="1"/>
      <c r="F1426" s="75" t="s">
        <v>13</v>
      </c>
      <c r="G1426" s="27">
        <f>ROUNDUP(G1425,0)</f>
        <v>117</v>
      </c>
      <c r="H1426" s="28" t="s">
        <v>17</v>
      </c>
      <c r="I1426" s="9"/>
      <c r="J1426" s="4"/>
    </row>
    <row r="1427" spans="1:10">
      <c r="A1427" s="79"/>
      <c r="C1427" s="1"/>
      <c r="D1427" s="1"/>
      <c r="E1427" s="1"/>
      <c r="F1427" s="1"/>
      <c r="G1427" s="33"/>
      <c r="H1427" s="24"/>
      <c r="I1427" s="9"/>
      <c r="J1427" s="4"/>
    </row>
    <row r="1428" spans="1:10">
      <c r="A1428" s="79"/>
      <c r="B1428" s="15" t="s">
        <v>57</v>
      </c>
      <c r="C1428" s="1"/>
      <c r="D1428" s="1"/>
      <c r="E1428" s="1"/>
      <c r="F1428" s="1"/>
      <c r="G1428" s="33"/>
      <c r="H1428" s="24"/>
      <c r="I1428" s="9"/>
      <c r="J1428" s="4"/>
    </row>
    <row r="1429" spans="1:10">
      <c r="A1429" s="79"/>
      <c r="C1429" s="1">
        <v>1</v>
      </c>
      <c r="D1429" s="5">
        <v>20.125</v>
      </c>
      <c r="E1429" s="5"/>
      <c r="F1429" s="5">
        <v>1.65</v>
      </c>
      <c r="G1429" s="4">
        <f>C1429*D1429*F1429</f>
        <v>33.206249999999997</v>
      </c>
      <c r="H1429" s="1" t="s">
        <v>17</v>
      </c>
      <c r="I1429" s="9"/>
      <c r="J1429" s="4"/>
    </row>
    <row r="1430" spans="1:10">
      <c r="A1430" s="79"/>
      <c r="C1430" s="1">
        <v>1</v>
      </c>
      <c r="D1430" s="5">
        <v>2.9</v>
      </c>
      <c r="E1430" s="5"/>
      <c r="F1430" s="5">
        <v>1.65</v>
      </c>
      <c r="G1430" s="4">
        <f>C1430*D1430*F1430</f>
        <v>4.7849999999999993</v>
      </c>
      <c r="H1430" s="1" t="s">
        <v>10</v>
      </c>
      <c r="I1430" s="9"/>
      <c r="J1430" s="4"/>
    </row>
    <row r="1431" spans="1:10">
      <c r="A1431" s="79"/>
      <c r="C1431" s="1">
        <v>1</v>
      </c>
      <c r="D1431" s="5">
        <v>9.77</v>
      </c>
      <c r="E1431" s="5"/>
      <c r="F1431" s="5">
        <v>3.45</v>
      </c>
      <c r="G1431" s="4">
        <f>C1431*D1431*F1431</f>
        <v>33.706499999999998</v>
      </c>
      <c r="H1431" s="1" t="s">
        <v>10</v>
      </c>
      <c r="I1431" s="9"/>
      <c r="J1431" s="4"/>
    </row>
    <row r="1432" spans="1:10">
      <c r="A1432" s="79"/>
      <c r="C1432" s="1"/>
      <c r="D1432" s="1"/>
      <c r="E1432" s="1"/>
      <c r="F1432" s="1"/>
      <c r="G1432" s="33"/>
      <c r="H1432" s="24"/>
      <c r="I1432" s="9"/>
      <c r="J1432" s="4"/>
    </row>
    <row r="1433" spans="1:10">
      <c r="A1433" s="79"/>
      <c r="C1433" s="1"/>
      <c r="D1433" s="1"/>
      <c r="E1433" s="1"/>
      <c r="F1433" s="100" t="s">
        <v>11</v>
      </c>
      <c r="G1433" s="53">
        <f>SUM(G1429:G1432)</f>
        <v>71.697749999999985</v>
      </c>
      <c r="H1433" s="50" t="s">
        <v>17</v>
      </c>
      <c r="I1433" s="9"/>
      <c r="J1433" s="4"/>
    </row>
    <row r="1434" spans="1:10">
      <c r="A1434" s="79"/>
      <c r="C1434" s="1"/>
      <c r="D1434" s="1"/>
      <c r="E1434" s="1"/>
      <c r="F1434" s="75" t="s">
        <v>13</v>
      </c>
      <c r="G1434" s="27">
        <f>ROUNDUP(G1433,0)</f>
        <v>72</v>
      </c>
      <c r="H1434" s="28" t="s">
        <v>17</v>
      </c>
      <c r="I1434" s="9"/>
      <c r="J1434" s="4"/>
    </row>
    <row r="1435" spans="1:10">
      <c r="A1435" s="79"/>
      <c r="C1435" s="1"/>
      <c r="D1435" s="1"/>
      <c r="E1435" s="1"/>
      <c r="F1435" s="1"/>
      <c r="G1435" s="33"/>
      <c r="H1435" s="24"/>
      <c r="I1435" s="9"/>
      <c r="J1435" s="4"/>
    </row>
    <row r="1436" spans="1:10">
      <c r="A1436" s="18">
        <f>A1415+1</f>
        <v>47</v>
      </c>
      <c r="B1436" s="9" t="s">
        <v>604</v>
      </c>
      <c r="C1436" s="74"/>
      <c r="D1436" s="74"/>
      <c r="E1436" s="74"/>
      <c r="F1436" s="74"/>
      <c r="H1436" s="31"/>
      <c r="I1436" s="9"/>
      <c r="J1436" s="4"/>
    </row>
    <row r="1437" spans="1:10">
      <c r="A1437" s="79"/>
      <c r="B1437" s="15" t="s">
        <v>56</v>
      </c>
      <c r="C1437" s="74"/>
      <c r="D1437" s="74"/>
      <c r="E1437" s="74"/>
      <c r="F1437" s="74"/>
      <c r="H1437" s="31"/>
      <c r="I1437" s="9"/>
      <c r="J1437" s="4"/>
    </row>
    <row r="1438" spans="1:10">
      <c r="A1438" s="79"/>
      <c r="B1438" s="46"/>
      <c r="C1438" s="46">
        <v>1</v>
      </c>
      <c r="D1438" s="2">
        <v>30</v>
      </c>
      <c r="E1438" s="2"/>
      <c r="F1438" s="2">
        <v>3</v>
      </c>
      <c r="G1438" s="4">
        <f>C1438*D1438*F1438</f>
        <v>90</v>
      </c>
      <c r="H1438" s="1" t="s">
        <v>17</v>
      </c>
      <c r="I1438" s="9"/>
      <c r="J1438" s="4"/>
    </row>
    <row r="1439" spans="1:10">
      <c r="A1439" s="79"/>
      <c r="B1439" s="46"/>
      <c r="C1439" s="46">
        <v>8</v>
      </c>
      <c r="D1439" s="2">
        <v>1.2</v>
      </c>
      <c r="E1439" s="2"/>
      <c r="F1439" s="2">
        <v>5</v>
      </c>
      <c r="G1439" s="4">
        <f>C1439*D1439*F1439</f>
        <v>48</v>
      </c>
      <c r="H1439" s="1" t="s">
        <v>10</v>
      </c>
      <c r="I1439" s="9"/>
      <c r="J1439" s="4"/>
    </row>
    <row r="1440" spans="1:10">
      <c r="A1440" s="79"/>
      <c r="B1440" s="46"/>
      <c r="C1440" s="46"/>
      <c r="D1440" s="2"/>
      <c r="E1440" s="2"/>
      <c r="F1440" s="2"/>
      <c r="G1440" s="4"/>
      <c r="H1440" s="1"/>
      <c r="I1440" s="9"/>
      <c r="J1440" s="4"/>
    </row>
    <row r="1441" spans="1:10">
      <c r="A1441" s="79"/>
      <c r="B1441" s="5"/>
      <c r="C1441" s="74"/>
      <c r="D1441" s="2"/>
      <c r="E1441" s="2"/>
      <c r="F1441" s="100" t="s">
        <v>11</v>
      </c>
      <c r="G1441" s="53">
        <f>SUM(G1438:G1440)</f>
        <v>138</v>
      </c>
      <c r="H1441" s="50" t="s">
        <v>17</v>
      </c>
      <c r="I1441" s="9"/>
      <c r="J1441" s="4"/>
    </row>
    <row r="1442" spans="1:10">
      <c r="A1442" s="79"/>
      <c r="C1442" s="46"/>
      <c r="D1442" s="46"/>
      <c r="E1442" s="46"/>
      <c r="F1442" s="75" t="s">
        <v>13</v>
      </c>
      <c r="G1442" s="27">
        <f>ROUNDUP(G1441,0)</f>
        <v>138</v>
      </c>
      <c r="H1442" s="28" t="s">
        <v>17</v>
      </c>
      <c r="I1442" s="9"/>
      <c r="J1442" s="4"/>
    </row>
    <row r="1443" spans="1:10">
      <c r="A1443" s="79"/>
      <c r="C1443" s="1"/>
      <c r="D1443" s="1"/>
      <c r="E1443" s="1"/>
      <c r="F1443" s="1"/>
      <c r="G1443" s="33"/>
      <c r="H1443" s="24"/>
      <c r="I1443" s="9"/>
      <c r="J1443" s="4"/>
    </row>
    <row r="1444" spans="1:10">
      <c r="A1444" s="79"/>
      <c r="C1444" s="1"/>
      <c r="D1444" s="1"/>
      <c r="E1444" s="1"/>
      <c r="F1444" s="1"/>
      <c r="G1444" s="33"/>
      <c r="H1444" s="24"/>
      <c r="I1444" s="9"/>
      <c r="J1444" s="4"/>
    </row>
    <row r="1445" spans="1:10">
      <c r="A1445" s="79"/>
      <c r="B1445" s="15" t="s">
        <v>445</v>
      </c>
      <c r="C1445" s="1"/>
      <c r="D1445" s="1"/>
      <c r="E1445" s="1"/>
      <c r="F1445" s="1"/>
      <c r="G1445" s="33"/>
      <c r="H1445" s="24"/>
      <c r="I1445" s="9"/>
      <c r="J1445" s="4"/>
    </row>
    <row r="1446" spans="1:10">
      <c r="A1446" s="79"/>
      <c r="C1446" s="46">
        <v>1</v>
      </c>
      <c r="D1446" s="2">
        <v>20</v>
      </c>
      <c r="E1446" s="2"/>
      <c r="F1446" s="2">
        <v>3</v>
      </c>
      <c r="G1446" s="4">
        <f>C1446*D1446*F1446</f>
        <v>60</v>
      </c>
      <c r="H1446" s="1" t="s">
        <v>17</v>
      </c>
      <c r="I1446" s="9"/>
      <c r="J1446" s="4"/>
    </row>
    <row r="1447" spans="1:10">
      <c r="A1447" s="79"/>
      <c r="C1447" s="46"/>
      <c r="D1447" s="2"/>
      <c r="E1447" s="2"/>
      <c r="F1447" s="2"/>
      <c r="G1447" s="4"/>
      <c r="H1447" s="1"/>
      <c r="I1447" s="9"/>
      <c r="J1447" s="4"/>
    </row>
    <row r="1448" spans="1:10">
      <c r="A1448" s="79"/>
      <c r="C1448" s="74"/>
      <c r="D1448" s="2"/>
      <c r="E1448" s="2"/>
      <c r="F1448" s="100" t="s">
        <v>11</v>
      </c>
      <c r="G1448" s="53">
        <f>SUM(G1446:G1447)</f>
        <v>60</v>
      </c>
      <c r="H1448" s="50" t="s">
        <v>17</v>
      </c>
      <c r="I1448" s="9"/>
      <c r="J1448" s="4"/>
    </row>
    <row r="1449" spans="1:10">
      <c r="A1449" s="79"/>
      <c r="C1449" s="46"/>
      <c r="D1449" s="46"/>
      <c r="E1449" s="46"/>
      <c r="F1449" s="75" t="s">
        <v>13</v>
      </c>
      <c r="G1449" s="27">
        <f>ROUNDUP(G1448,0)</f>
        <v>60</v>
      </c>
      <c r="H1449" s="28" t="s">
        <v>17</v>
      </c>
      <c r="I1449" s="9"/>
      <c r="J1449" s="4"/>
    </row>
    <row r="1450" spans="1:10">
      <c r="A1450" s="79"/>
      <c r="C1450" s="1"/>
      <c r="D1450" s="1"/>
      <c r="E1450" s="1"/>
      <c r="F1450" s="1"/>
      <c r="G1450" s="33"/>
      <c r="H1450" s="24"/>
      <c r="I1450" s="9"/>
      <c r="J1450" s="4"/>
    </row>
    <row r="1451" spans="1:10">
      <c r="A1451" s="18">
        <f>A1436+1</f>
        <v>48</v>
      </c>
      <c r="B1451" s="9" t="s">
        <v>112</v>
      </c>
      <c r="I1451" s="9"/>
      <c r="J1451" s="4"/>
    </row>
    <row r="1452" spans="1:10">
      <c r="A1452" s="18"/>
      <c r="B1452" s="15" t="s">
        <v>56</v>
      </c>
      <c r="C1452" s="31"/>
      <c r="D1452" s="31"/>
      <c r="E1452" s="31"/>
      <c r="F1452" s="31"/>
      <c r="H1452" s="31"/>
      <c r="I1452" s="9"/>
      <c r="J1452" s="4"/>
    </row>
    <row r="1453" spans="1:10">
      <c r="A1453" s="18"/>
      <c r="B1453" s="46" t="s">
        <v>464</v>
      </c>
      <c r="C1453" s="1">
        <v>1</v>
      </c>
      <c r="D1453" s="5">
        <v>28.73</v>
      </c>
      <c r="E1453" s="5">
        <v>5.09</v>
      </c>
      <c r="F1453" s="5"/>
      <c r="G1453" s="4">
        <f>C1453*D1453*E1453</f>
        <v>146.23570000000001</v>
      </c>
      <c r="H1453" s="1" t="s">
        <v>17</v>
      </c>
      <c r="I1453" s="9"/>
      <c r="J1453" s="4"/>
    </row>
    <row r="1454" spans="1:10">
      <c r="A1454" s="13"/>
      <c r="B1454" s="46" t="s">
        <v>465</v>
      </c>
      <c r="C1454" s="1">
        <v>1</v>
      </c>
      <c r="D1454" s="5">
        <v>25.77</v>
      </c>
      <c r="E1454" s="5">
        <v>5.09</v>
      </c>
      <c r="F1454" s="5"/>
      <c r="G1454" s="4">
        <f t="shared" ref="G1454:G1509" si="96">C1454*D1454*E1454</f>
        <v>131.16929999999999</v>
      </c>
      <c r="H1454" s="1" t="s">
        <v>10</v>
      </c>
      <c r="I1454" s="9"/>
      <c r="J1454" s="4"/>
    </row>
    <row r="1455" spans="1:10">
      <c r="A1455" s="13"/>
      <c r="B1455" s="46" t="s">
        <v>466</v>
      </c>
      <c r="C1455" s="1">
        <v>1</v>
      </c>
      <c r="D1455" s="5">
        <v>4.8449999999999998</v>
      </c>
      <c r="E1455" s="5">
        <v>8.27</v>
      </c>
      <c r="F1455" s="5"/>
      <c r="G1455" s="4">
        <f t="shared" si="96"/>
        <v>40.068149999999996</v>
      </c>
      <c r="H1455" s="1" t="s">
        <v>10</v>
      </c>
      <c r="I1455" s="9"/>
      <c r="J1455" s="4"/>
    </row>
    <row r="1456" spans="1:10">
      <c r="A1456" s="13"/>
      <c r="B1456" s="46" t="s">
        <v>467</v>
      </c>
      <c r="C1456" s="1">
        <v>1</v>
      </c>
      <c r="D1456" s="5">
        <f>4.77</f>
        <v>4.7699999999999996</v>
      </c>
      <c r="E1456" s="5">
        <f>8.27</f>
        <v>8.27</v>
      </c>
      <c r="F1456" s="5"/>
      <c r="G1456" s="4">
        <f t="shared" si="96"/>
        <v>39.447899999999997</v>
      </c>
      <c r="H1456" s="1" t="s">
        <v>10</v>
      </c>
      <c r="I1456" s="9"/>
      <c r="J1456" s="4"/>
    </row>
    <row r="1457" spans="1:10">
      <c r="A1457" s="13"/>
      <c r="B1457" s="46" t="s">
        <v>468</v>
      </c>
      <c r="C1457" s="1">
        <v>1</v>
      </c>
      <c r="D1457" s="5">
        <v>5</v>
      </c>
      <c r="E1457" s="5">
        <v>3.5</v>
      </c>
      <c r="F1457" s="5"/>
      <c r="G1457" s="4">
        <f t="shared" si="96"/>
        <v>17.5</v>
      </c>
      <c r="H1457" s="1" t="s">
        <v>10</v>
      </c>
      <c r="I1457" s="9"/>
      <c r="J1457" s="4"/>
    </row>
    <row r="1458" spans="1:10">
      <c r="A1458" s="13"/>
      <c r="B1458" s="46" t="s">
        <v>469</v>
      </c>
      <c r="C1458" s="1">
        <v>1</v>
      </c>
      <c r="D1458" s="5">
        <v>4.7699999999999996</v>
      </c>
      <c r="E1458" s="5">
        <v>3.52</v>
      </c>
      <c r="F1458" s="5"/>
      <c r="G1458" s="4">
        <f t="shared" si="96"/>
        <v>16.790399999999998</v>
      </c>
      <c r="H1458" s="1" t="s">
        <v>10</v>
      </c>
      <c r="I1458" s="9"/>
      <c r="J1458" s="4"/>
    </row>
    <row r="1459" spans="1:10">
      <c r="A1459" s="13"/>
      <c r="B1459" s="46" t="s">
        <v>470</v>
      </c>
      <c r="C1459" s="1">
        <v>1</v>
      </c>
      <c r="D1459" s="5">
        <v>4.7699999999999996</v>
      </c>
      <c r="E1459" s="5">
        <v>3.52</v>
      </c>
      <c r="F1459" s="5"/>
      <c r="G1459" s="4">
        <f t="shared" si="96"/>
        <v>16.790399999999998</v>
      </c>
      <c r="H1459" s="1" t="s">
        <v>10</v>
      </c>
      <c r="I1459" s="9"/>
      <c r="J1459" s="4"/>
    </row>
    <row r="1460" spans="1:10">
      <c r="A1460" s="13"/>
      <c r="B1460" s="46" t="s">
        <v>471</v>
      </c>
      <c r="C1460" s="1">
        <v>1</v>
      </c>
      <c r="D1460" s="5">
        <v>7.27</v>
      </c>
      <c r="E1460" s="5">
        <v>4.7699999999999996</v>
      </c>
      <c r="F1460" s="5"/>
      <c r="G1460" s="4">
        <f t="shared" si="96"/>
        <v>34.677899999999994</v>
      </c>
      <c r="H1460" s="1" t="s">
        <v>10</v>
      </c>
      <c r="I1460" s="9"/>
      <c r="J1460" s="4"/>
    </row>
    <row r="1461" spans="1:10">
      <c r="A1461" s="13"/>
      <c r="B1461" s="46"/>
      <c r="C1461" s="1">
        <v>1</v>
      </c>
      <c r="D1461" s="5">
        <v>2.27</v>
      </c>
      <c r="E1461" s="5">
        <v>5</v>
      </c>
      <c r="F1461" s="5"/>
      <c r="G1461" s="4">
        <f t="shared" si="96"/>
        <v>11.35</v>
      </c>
      <c r="H1461" s="1" t="s">
        <v>10</v>
      </c>
      <c r="I1461" s="9"/>
      <c r="J1461" s="4"/>
    </row>
    <row r="1462" spans="1:10">
      <c r="A1462" s="13"/>
      <c r="B1462" s="46" t="s">
        <v>472</v>
      </c>
      <c r="C1462" s="1">
        <v>1</v>
      </c>
      <c r="D1462" s="5">
        <v>3.2349999999999999</v>
      </c>
      <c r="E1462" s="5">
        <v>4.2699999999999996</v>
      </c>
      <c r="F1462" s="5"/>
      <c r="G1462" s="4">
        <f t="shared" si="96"/>
        <v>13.813449999999998</v>
      </c>
      <c r="H1462" s="1" t="s">
        <v>10</v>
      </c>
      <c r="I1462" s="9"/>
      <c r="J1462" s="4"/>
    </row>
    <row r="1463" spans="1:10">
      <c r="A1463" s="13"/>
      <c r="B1463" s="46" t="s">
        <v>473</v>
      </c>
      <c r="C1463" s="1">
        <v>1</v>
      </c>
      <c r="D1463" s="5">
        <v>2.4500000000000002</v>
      </c>
      <c r="E1463" s="5">
        <v>4.2699999999999996</v>
      </c>
      <c r="F1463" s="5"/>
      <c r="G1463" s="4">
        <f t="shared" si="96"/>
        <v>10.461499999999999</v>
      </c>
      <c r="H1463" s="1" t="s">
        <v>10</v>
      </c>
      <c r="I1463" s="9"/>
      <c r="J1463" s="4"/>
    </row>
    <row r="1464" spans="1:10">
      <c r="A1464" s="13"/>
      <c r="B1464" s="46" t="s">
        <v>474</v>
      </c>
      <c r="C1464" s="1">
        <v>1</v>
      </c>
      <c r="D1464" s="5">
        <v>7.6050000000000004</v>
      </c>
      <c r="E1464" s="5">
        <v>4.2699999999999996</v>
      </c>
      <c r="F1464" s="5"/>
      <c r="G1464" s="4">
        <f t="shared" si="96"/>
        <v>32.473349999999996</v>
      </c>
      <c r="H1464" s="1" t="s">
        <v>10</v>
      </c>
      <c r="I1464" s="9"/>
      <c r="J1464" s="4"/>
    </row>
    <row r="1465" spans="1:10">
      <c r="A1465" s="13"/>
      <c r="B1465" s="46" t="s">
        <v>475</v>
      </c>
      <c r="C1465" s="1">
        <v>1</v>
      </c>
      <c r="D1465" s="5">
        <v>2.77</v>
      </c>
      <c r="E1465" s="5">
        <v>2.5750000000000002</v>
      </c>
      <c r="F1465" s="5"/>
      <c r="G1465" s="4">
        <f t="shared" si="96"/>
        <v>7.1327500000000006</v>
      </c>
      <c r="H1465" s="1" t="s">
        <v>10</v>
      </c>
      <c r="I1465" s="9"/>
      <c r="J1465" s="4"/>
    </row>
    <row r="1466" spans="1:10">
      <c r="A1466" s="13"/>
      <c r="B1466" s="46" t="s">
        <v>476</v>
      </c>
      <c r="C1466" s="1">
        <v>1</v>
      </c>
      <c r="D1466" s="5">
        <v>2.6850000000000001</v>
      </c>
      <c r="E1466" s="5">
        <v>1.81</v>
      </c>
      <c r="F1466" s="5"/>
      <c r="G1466" s="4">
        <f t="shared" si="96"/>
        <v>4.8598500000000007</v>
      </c>
      <c r="H1466" s="1" t="s">
        <v>10</v>
      </c>
      <c r="I1466" s="9"/>
      <c r="J1466" s="4"/>
    </row>
    <row r="1467" spans="1:10">
      <c r="A1467" s="13"/>
      <c r="B1467" s="46" t="s">
        <v>477</v>
      </c>
      <c r="C1467" s="1">
        <v>1</v>
      </c>
      <c r="D1467" s="5">
        <v>12.17</v>
      </c>
      <c r="E1467" s="5">
        <v>8.77</v>
      </c>
      <c r="F1467" s="5"/>
      <c r="G1467" s="4">
        <f t="shared" si="96"/>
        <v>106.73089999999999</v>
      </c>
      <c r="H1467" s="1" t="s">
        <v>10</v>
      </c>
      <c r="I1467" s="9"/>
      <c r="J1467" s="4"/>
    </row>
    <row r="1468" spans="1:10">
      <c r="A1468" s="13"/>
      <c r="B1468" s="46" t="s">
        <v>476</v>
      </c>
      <c r="C1468" s="1">
        <v>1</v>
      </c>
      <c r="D1468" s="5">
        <v>2.2149999999999999</v>
      </c>
      <c r="E1468" s="5">
        <v>2.9</v>
      </c>
      <c r="F1468" s="5"/>
      <c r="G1468" s="4">
        <f t="shared" si="96"/>
        <v>6.4234999999999998</v>
      </c>
      <c r="H1468" s="1" t="s">
        <v>10</v>
      </c>
      <c r="I1468" s="9"/>
      <c r="J1468" s="4"/>
    </row>
    <row r="1469" spans="1:10">
      <c r="A1469" s="13"/>
      <c r="B1469" s="46" t="s">
        <v>478</v>
      </c>
      <c r="C1469" s="1">
        <v>1</v>
      </c>
      <c r="D1469" s="5">
        <v>2.44</v>
      </c>
      <c r="E1469" s="5">
        <v>2.9</v>
      </c>
      <c r="F1469" s="5"/>
      <c r="G1469" s="4">
        <f t="shared" si="96"/>
        <v>7.0759999999999996</v>
      </c>
      <c r="H1469" s="1" t="s">
        <v>10</v>
      </c>
      <c r="I1469" s="9"/>
      <c r="J1469" s="4"/>
    </row>
    <row r="1470" spans="1:10">
      <c r="A1470" s="13"/>
      <c r="B1470" s="46" t="s">
        <v>136</v>
      </c>
      <c r="C1470" s="1">
        <v>1</v>
      </c>
      <c r="D1470" s="5">
        <v>4.97</v>
      </c>
      <c r="E1470" s="5">
        <v>4.2699999999999996</v>
      </c>
      <c r="F1470" s="5"/>
      <c r="G1470" s="4">
        <f t="shared" si="96"/>
        <v>21.221899999999998</v>
      </c>
      <c r="H1470" s="1" t="s">
        <v>10</v>
      </c>
      <c r="I1470" s="9"/>
      <c r="J1470" s="4"/>
    </row>
    <row r="1471" spans="1:10">
      <c r="A1471" s="13"/>
      <c r="B1471" s="46" t="s">
        <v>479</v>
      </c>
      <c r="C1471" s="1">
        <v>1</v>
      </c>
      <c r="D1471" s="5">
        <v>2.4500000000000002</v>
      </c>
      <c r="E1471" s="5">
        <v>1.46</v>
      </c>
      <c r="F1471" s="5"/>
      <c r="G1471" s="4">
        <f t="shared" si="96"/>
        <v>3.577</v>
      </c>
      <c r="H1471" s="1" t="s">
        <v>10</v>
      </c>
      <c r="I1471" s="9"/>
      <c r="J1471" s="4"/>
    </row>
    <row r="1472" spans="1:10">
      <c r="A1472" s="13"/>
      <c r="B1472" s="46" t="s">
        <v>480</v>
      </c>
      <c r="C1472" s="1">
        <v>1</v>
      </c>
      <c r="D1472" s="5">
        <v>2.97</v>
      </c>
      <c r="E1472" s="5">
        <v>4.2699999999999996</v>
      </c>
      <c r="F1472" s="5"/>
      <c r="G1472" s="4">
        <f t="shared" si="96"/>
        <v>12.681899999999999</v>
      </c>
      <c r="H1472" s="1" t="s">
        <v>10</v>
      </c>
      <c r="I1472" s="9"/>
      <c r="J1472" s="4"/>
    </row>
    <row r="1473" spans="1:10">
      <c r="A1473" s="13"/>
      <c r="B1473" s="46"/>
      <c r="C1473" s="1">
        <v>1</v>
      </c>
      <c r="D1473" s="5">
        <v>1.885</v>
      </c>
      <c r="E1473" s="5">
        <v>4.2699999999999996</v>
      </c>
      <c r="F1473" s="5"/>
      <c r="G1473" s="4">
        <f t="shared" si="96"/>
        <v>8.0489499999999996</v>
      </c>
      <c r="H1473" s="1" t="s">
        <v>10</v>
      </c>
      <c r="I1473" s="9"/>
      <c r="J1473" s="4"/>
    </row>
    <row r="1474" spans="1:10">
      <c r="A1474" s="13"/>
      <c r="B1474" s="46"/>
      <c r="C1474" s="1">
        <v>1</v>
      </c>
      <c r="D1474" s="5">
        <v>2.77</v>
      </c>
      <c r="E1474" s="5">
        <v>1.81</v>
      </c>
      <c r="F1474" s="5"/>
      <c r="G1474" s="4">
        <f t="shared" si="96"/>
        <v>5.0137</v>
      </c>
      <c r="H1474" s="1" t="s">
        <v>10</v>
      </c>
      <c r="I1474" s="9"/>
      <c r="J1474" s="4"/>
    </row>
    <row r="1475" spans="1:10">
      <c r="A1475" s="13"/>
      <c r="B1475" s="46" t="s">
        <v>481</v>
      </c>
      <c r="C1475" s="1">
        <v>1</v>
      </c>
      <c r="D1475" s="5">
        <v>2.6850000000000001</v>
      </c>
      <c r="E1475" s="5">
        <v>2.145</v>
      </c>
      <c r="F1475" s="5"/>
      <c r="G1475" s="4">
        <f t="shared" si="96"/>
        <v>5.7593250000000005</v>
      </c>
      <c r="H1475" s="1" t="s">
        <v>10</v>
      </c>
      <c r="I1475" s="9"/>
      <c r="J1475" s="4"/>
    </row>
    <row r="1476" spans="1:10">
      <c r="A1476" s="13"/>
      <c r="B1476" s="46" t="s">
        <v>482</v>
      </c>
      <c r="C1476" s="1">
        <v>1</v>
      </c>
      <c r="D1476" s="5">
        <v>3.3450000000000002</v>
      </c>
      <c r="E1476" s="5">
        <v>3.01</v>
      </c>
      <c r="F1476" s="5"/>
      <c r="G1476" s="4">
        <f t="shared" si="96"/>
        <v>10.06845</v>
      </c>
      <c r="H1476" s="1" t="s">
        <v>10</v>
      </c>
      <c r="I1476" s="9"/>
      <c r="J1476" s="4"/>
    </row>
    <row r="1477" spans="1:10">
      <c r="A1477" s="13"/>
      <c r="B1477" s="46" t="s">
        <v>483</v>
      </c>
      <c r="C1477" s="1">
        <v>1</v>
      </c>
      <c r="D1477" s="5">
        <v>2.2149999999999999</v>
      </c>
      <c r="E1477" s="5">
        <v>2.5150000000000001</v>
      </c>
      <c r="F1477" s="5"/>
      <c r="G1477" s="4">
        <f t="shared" si="96"/>
        <v>5.5707249999999995</v>
      </c>
      <c r="H1477" s="1" t="s">
        <v>10</v>
      </c>
      <c r="I1477" s="9"/>
      <c r="J1477" s="4"/>
    </row>
    <row r="1478" spans="1:10">
      <c r="A1478" s="13"/>
      <c r="B1478" s="46" t="s">
        <v>484</v>
      </c>
      <c r="C1478" s="1">
        <v>1</v>
      </c>
      <c r="D1478" s="5">
        <v>2.875</v>
      </c>
      <c r="E1478" s="5">
        <v>2.5150000000000001</v>
      </c>
      <c r="F1478" s="5"/>
      <c r="G1478" s="4">
        <f t="shared" si="96"/>
        <v>7.2306250000000007</v>
      </c>
      <c r="H1478" s="1" t="s">
        <v>10</v>
      </c>
      <c r="I1478" s="9"/>
      <c r="J1478" s="4"/>
    </row>
    <row r="1479" spans="1:10">
      <c r="A1479" s="13"/>
      <c r="B1479" s="46"/>
      <c r="C1479" s="1">
        <v>1</v>
      </c>
      <c r="D1479" s="5">
        <v>4.45</v>
      </c>
      <c r="E1479" s="5">
        <v>2.5150000000000001</v>
      </c>
      <c r="F1479" s="5"/>
      <c r="G1479" s="4">
        <f t="shared" si="96"/>
        <v>11.191750000000001</v>
      </c>
      <c r="H1479" s="1" t="s">
        <v>10</v>
      </c>
      <c r="I1479" s="9"/>
      <c r="J1479" s="4"/>
    </row>
    <row r="1480" spans="1:10">
      <c r="A1480" s="13"/>
      <c r="B1480" s="46" t="s">
        <v>485</v>
      </c>
      <c r="C1480" s="1">
        <v>1</v>
      </c>
      <c r="D1480" s="5">
        <v>3.36</v>
      </c>
      <c r="E1480" s="5">
        <v>3.01</v>
      </c>
      <c r="F1480" s="5"/>
      <c r="G1480" s="4">
        <f t="shared" si="96"/>
        <v>10.113599999999998</v>
      </c>
      <c r="H1480" s="1" t="s">
        <v>10</v>
      </c>
      <c r="I1480" s="9"/>
      <c r="J1480" s="4"/>
    </row>
    <row r="1481" spans="1:10">
      <c r="A1481" s="13"/>
      <c r="B1481" s="46"/>
      <c r="C1481" s="1">
        <v>1</v>
      </c>
      <c r="D1481" s="5">
        <v>2.835</v>
      </c>
      <c r="E1481" s="5">
        <v>3.61</v>
      </c>
      <c r="F1481" s="5"/>
      <c r="G1481" s="4">
        <f t="shared" si="96"/>
        <v>10.234349999999999</v>
      </c>
      <c r="H1481" s="1" t="s">
        <v>10</v>
      </c>
      <c r="I1481" s="9"/>
      <c r="J1481" s="4"/>
    </row>
    <row r="1482" spans="1:10">
      <c r="A1482" s="13"/>
      <c r="B1482" s="46" t="s">
        <v>486</v>
      </c>
      <c r="C1482" s="1">
        <v>1</v>
      </c>
      <c r="D1482" s="5">
        <v>1.2</v>
      </c>
      <c r="E1482" s="5">
        <v>14.48</v>
      </c>
      <c r="F1482" s="5"/>
      <c r="G1482" s="4">
        <f t="shared" si="96"/>
        <v>17.376000000000001</v>
      </c>
      <c r="H1482" s="1" t="s">
        <v>10</v>
      </c>
      <c r="I1482" s="9"/>
      <c r="J1482" s="4"/>
    </row>
    <row r="1483" spans="1:10">
      <c r="A1483" s="13"/>
      <c r="B1483" s="46" t="s">
        <v>487</v>
      </c>
      <c r="C1483" s="1">
        <v>1</v>
      </c>
      <c r="D1483" s="5">
        <v>5.12</v>
      </c>
      <c r="E1483" s="5">
        <v>1.76</v>
      </c>
      <c r="F1483" s="5"/>
      <c r="G1483" s="4">
        <f t="shared" si="96"/>
        <v>9.0112000000000005</v>
      </c>
      <c r="H1483" s="1" t="s">
        <v>10</v>
      </c>
      <c r="I1483" s="9"/>
      <c r="J1483" s="4"/>
    </row>
    <row r="1484" spans="1:10">
      <c r="A1484" s="13"/>
      <c r="B1484" s="46" t="s">
        <v>488</v>
      </c>
      <c r="C1484" s="1">
        <v>1</v>
      </c>
      <c r="D1484" s="5">
        <v>6.32</v>
      </c>
      <c r="E1484" s="5">
        <v>1.2</v>
      </c>
      <c r="F1484" s="5"/>
      <c r="G1484" s="4">
        <f t="shared" si="96"/>
        <v>7.5839999999999996</v>
      </c>
      <c r="H1484" s="1" t="s">
        <v>10</v>
      </c>
      <c r="I1484" s="9"/>
      <c r="J1484" s="4"/>
    </row>
    <row r="1485" spans="1:10">
      <c r="A1485" s="13"/>
      <c r="B1485" s="46" t="s">
        <v>489</v>
      </c>
      <c r="C1485" s="1">
        <v>1</v>
      </c>
      <c r="D1485" s="5">
        <v>5.5049999999999999</v>
      </c>
      <c r="E1485" s="5">
        <v>2.2200000000000002</v>
      </c>
      <c r="F1485" s="5"/>
      <c r="G1485" s="4">
        <f t="shared" si="96"/>
        <v>12.221100000000002</v>
      </c>
      <c r="H1485" s="1" t="s">
        <v>10</v>
      </c>
      <c r="I1485" s="9"/>
      <c r="J1485" s="4"/>
    </row>
    <row r="1486" spans="1:10">
      <c r="A1486" s="13"/>
      <c r="B1486" s="46"/>
      <c r="C1486" s="1">
        <v>1</v>
      </c>
      <c r="D1486" s="5">
        <v>1.2</v>
      </c>
      <c r="E1486" s="5">
        <v>0.9</v>
      </c>
      <c r="F1486" s="5"/>
      <c r="G1486" s="4">
        <f t="shared" si="96"/>
        <v>1.08</v>
      </c>
      <c r="H1486" s="1" t="s">
        <v>10</v>
      </c>
      <c r="I1486" s="9"/>
      <c r="J1486" s="4"/>
    </row>
    <row r="1487" spans="1:10">
      <c r="A1487" s="13"/>
      <c r="B1487" s="46"/>
      <c r="C1487" s="1">
        <v>5</v>
      </c>
      <c r="D1487" s="5">
        <v>1.2</v>
      </c>
      <c r="E1487" s="5">
        <v>1.3</v>
      </c>
      <c r="F1487" s="5"/>
      <c r="G1487" s="4">
        <f t="shared" si="96"/>
        <v>7.8000000000000007</v>
      </c>
      <c r="H1487" s="1" t="s">
        <v>10</v>
      </c>
      <c r="I1487" s="9"/>
      <c r="J1487" s="4"/>
    </row>
    <row r="1488" spans="1:10">
      <c r="A1488" s="13"/>
      <c r="B1488" s="46"/>
      <c r="C1488" s="1">
        <v>1</v>
      </c>
      <c r="D1488" s="5">
        <v>1.72</v>
      </c>
      <c r="E1488" s="5">
        <v>1.2</v>
      </c>
      <c r="F1488" s="5"/>
      <c r="G1488" s="4">
        <f t="shared" si="96"/>
        <v>2.0640000000000001</v>
      </c>
      <c r="H1488" s="1" t="s">
        <v>10</v>
      </c>
      <c r="I1488" s="9"/>
      <c r="J1488" s="4"/>
    </row>
    <row r="1489" spans="1:11">
      <c r="A1489" s="13"/>
      <c r="B1489" s="46" t="s">
        <v>490</v>
      </c>
      <c r="C1489" s="1">
        <f t="shared" ref="C1489:C1509" si="97">C614</f>
        <v>4</v>
      </c>
      <c r="D1489" s="5">
        <v>5.2</v>
      </c>
      <c r="E1489" s="5">
        <f t="shared" ref="E1489:E1509" si="98">E239+F239+F239</f>
        <v>1.43</v>
      </c>
      <c r="F1489" s="5"/>
      <c r="G1489" s="4">
        <f t="shared" si="96"/>
        <v>29.744</v>
      </c>
      <c r="H1489" s="1" t="s">
        <v>10</v>
      </c>
      <c r="I1489" s="9"/>
      <c r="J1489" s="4"/>
    </row>
    <row r="1490" spans="1:11">
      <c r="A1490" s="13"/>
      <c r="B1490" s="46"/>
      <c r="C1490" s="1">
        <f t="shared" si="97"/>
        <v>4</v>
      </c>
      <c r="D1490" s="5">
        <v>5.2</v>
      </c>
      <c r="E1490" s="5">
        <f t="shared" si="98"/>
        <v>1.43</v>
      </c>
      <c r="F1490" s="5"/>
      <c r="G1490" s="4">
        <f t="shared" si="96"/>
        <v>29.744</v>
      </c>
      <c r="H1490" s="1" t="s">
        <v>10</v>
      </c>
      <c r="I1490" s="46"/>
      <c r="J1490" s="31"/>
      <c r="K1490" s="31"/>
    </row>
    <row r="1491" spans="1:11">
      <c r="A1491" s="13"/>
      <c r="B1491" s="46"/>
      <c r="C1491" s="1">
        <f t="shared" si="97"/>
        <v>4</v>
      </c>
      <c r="D1491" s="5">
        <v>5.2</v>
      </c>
      <c r="E1491" s="5">
        <f t="shared" si="98"/>
        <v>1.43</v>
      </c>
      <c r="F1491" s="5"/>
      <c r="G1491" s="4">
        <f t="shared" si="96"/>
        <v>29.744</v>
      </c>
      <c r="H1491" s="1" t="s">
        <v>10</v>
      </c>
      <c r="I1491" s="46"/>
      <c r="J1491" s="31"/>
      <c r="K1491" s="31"/>
    </row>
    <row r="1492" spans="1:11">
      <c r="A1492" s="13"/>
      <c r="B1492" s="46"/>
      <c r="C1492" s="1">
        <f t="shared" si="97"/>
        <v>4</v>
      </c>
      <c r="D1492" s="5">
        <v>3</v>
      </c>
      <c r="E1492" s="5">
        <f t="shared" si="98"/>
        <v>1.43</v>
      </c>
      <c r="F1492" s="5"/>
      <c r="G1492" s="4">
        <f t="shared" si="96"/>
        <v>17.16</v>
      </c>
      <c r="H1492" s="1" t="s">
        <v>10</v>
      </c>
      <c r="I1492" s="46"/>
      <c r="J1492" s="31"/>
      <c r="K1492" s="31"/>
    </row>
    <row r="1493" spans="1:11">
      <c r="A1493" s="13"/>
      <c r="B1493" s="46"/>
      <c r="C1493" s="1">
        <f t="shared" si="97"/>
        <v>1</v>
      </c>
      <c r="D1493" s="5">
        <v>3</v>
      </c>
      <c r="E1493" s="5">
        <f t="shared" si="98"/>
        <v>1.1300000000000001</v>
      </c>
      <c r="F1493" s="5"/>
      <c r="G1493" s="4">
        <f t="shared" si="96"/>
        <v>3.3900000000000006</v>
      </c>
      <c r="H1493" s="1" t="s">
        <v>10</v>
      </c>
      <c r="I1493" s="46"/>
      <c r="J1493" s="31"/>
      <c r="K1493" s="31"/>
    </row>
    <row r="1494" spans="1:11">
      <c r="A1494" s="13"/>
      <c r="B1494" s="46"/>
      <c r="C1494" s="1">
        <f t="shared" si="97"/>
        <v>3</v>
      </c>
      <c r="D1494" s="5">
        <v>2.2000000000000002</v>
      </c>
      <c r="E1494" s="5">
        <f t="shared" si="98"/>
        <v>1.43</v>
      </c>
      <c r="F1494" s="5"/>
      <c r="G1494" s="4">
        <f t="shared" si="96"/>
        <v>9.4380000000000006</v>
      </c>
      <c r="H1494" s="1" t="s">
        <v>10</v>
      </c>
      <c r="I1494" s="46"/>
      <c r="J1494" s="31"/>
      <c r="K1494" s="31"/>
    </row>
    <row r="1495" spans="1:11">
      <c r="A1495" s="13"/>
      <c r="B1495" s="46"/>
      <c r="C1495" s="1">
        <f t="shared" si="97"/>
        <v>1</v>
      </c>
      <c r="D1495" s="5">
        <v>2.2000000000000002</v>
      </c>
      <c r="E1495" s="5">
        <f t="shared" si="98"/>
        <v>1.1300000000000001</v>
      </c>
      <c r="F1495" s="5"/>
      <c r="G1495" s="4">
        <f t="shared" si="96"/>
        <v>2.4860000000000007</v>
      </c>
      <c r="H1495" s="1" t="s">
        <v>10</v>
      </c>
      <c r="I1495" s="46"/>
      <c r="J1495" s="31"/>
      <c r="K1495" s="31"/>
    </row>
    <row r="1496" spans="1:11">
      <c r="A1496" s="13"/>
      <c r="B1496" s="46"/>
      <c r="C1496" s="1">
        <f t="shared" si="97"/>
        <v>3</v>
      </c>
      <c r="D1496" s="5">
        <v>5.2</v>
      </c>
      <c r="E1496" s="5">
        <f t="shared" si="98"/>
        <v>1.43</v>
      </c>
      <c r="F1496" s="5"/>
      <c r="G1496" s="4">
        <f t="shared" si="96"/>
        <v>22.308</v>
      </c>
      <c r="H1496" s="1" t="s">
        <v>10</v>
      </c>
      <c r="I1496" s="46"/>
      <c r="J1496" s="31"/>
      <c r="K1496" s="31"/>
    </row>
    <row r="1497" spans="1:11">
      <c r="A1497" s="13"/>
      <c r="B1497" s="46"/>
      <c r="C1497" s="1">
        <f t="shared" si="97"/>
        <v>5</v>
      </c>
      <c r="D1497" s="5">
        <v>2.5</v>
      </c>
      <c r="E1497" s="5">
        <f t="shared" si="98"/>
        <v>1.43</v>
      </c>
      <c r="F1497" s="5"/>
      <c r="G1497" s="4">
        <f t="shared" si="96"/>
        <v>17.875</v>
      </c>
      <c r="H1497" s="1" t="s">
        <v>10</v>
      </c>
      <c r="I1497" s="46"/>
      <c r="J1497" s="31"/>
      <c r="K1497" s="31"/>
    </row>
    <row r="1498" spans="1:11">
      <c r="A1498" s="13"/>
      <c r="B1498" s="46"/>
      <c r="C1498" s="1">
        <f t="shared" si="97"/>
        <v>5</v>
      </c>
      <c r="D1498" s="5">
        <v>2.5</v>
      </c>
      <c r="E1498" s="5">
        <f t="shared" si="98"/>
        <v>1.43</v>
      </c>
      <c r="F1498" s="5"/>
      <c r="G1498" s="4">
        <f t="shared" si="96"/>
        <v>17.875</v>
      </c>
      <c r="H1498" s="1" t="s">
        <v>10</v>
      </c>
      <c r="I1498" s="46"/>
      <c r="J1498" s="31"/>
      <c r="K1498" s="31"/>
    </row>
    <row r="1499" spans="1:11">
      <c r="A1499" s="13"/>
      <c r="B1499" s="46"/>
      <c r="C1499" s="1">
        <f t="shared" si="97"/>
        <v>7</v>
      </c>
      <c r="D1499" s="5">
        <v>5</v>
      </c>
      <c r="E1499" s="5">
        <f t="shared" si="98"/>
        <v>1.43</v>
      </c>
      <c r="F1499" s="5"/>
      <c r="G1499" s="4">
        <f t="shared" si="96"/>
        <v>50.05</v>
      </c>
      <c r="H1499" s="1" t="s">
        <v>10</v>
      </c>
      <c r="I1499" s="46"/>
      <c r="J1499" s="31"/>
      <c r="K1499" s="31"/>
    </row>
    <row r="1500" spans="1:11">
      <c r="A1500" s="13"/>
      <c r="B1500" s="46"/>
      <c r="C1500" s="1">
        <f t="shared" si="97"/>
        <v>7</v>
      </c>
      <c r="D1500" s="5">
        <v>5</v>
      </c>
      <c r="E1500" s="5">
        <f t="shared" si="98"/>
        <v>1.43</v>
      </c>
      <c r="F1500" s="5"/>
      <c r="G1500" s="4">
        <f t="shared" si="96"/>
        <v>50.05</v>
      </c>
      <c r="H1500" s="1" t="s">
        <v>10</v>
      </c>
      <c r="I1500" s="46"/>
      <c r="J1500" s="31"/>
      <c r="K1500" s="31"/>
    </row>
    <row r="1501" spans="1:11">
      <c r="A1501" s="13"/>
      <c r="B1501" s="46"/>
      <c r="C1501" s="1">
        <f t="shared" si="97"/>
        <v>2</v>
      </c>
      <c r="D1501" s="5">
        <v>0.79</v>
      </c>
      <c r="E1501" s="5">
        <f t="shared" si="98"/>
        <v>1.1300000000000001</v>
      </c>
      <c r="F1501" s="5"/>
      <c r="G1501" s="4">
        <f t="shared" si="96"/>
        <v>1.7854000000000003</v>
      </c>
      <c r="H1501" s="1" t="s">
        <v>10</v>
      </c>
      <c r="I1501" s="46"/>
      <c r="J1501" s="31"/>
      <c r="K1501" s="31"/>
    </row>
    <row r="1502" spans="1:11">
      <c r="A1502" s="13"/>
      <c r="B1502" s="46"/>
      <c r="C1502" s="1">
        <f t="shared" si="97"/>
        <v>2</v>
      </c>
      <c r="D1502" s="5">
        <v>1.2</v>
      </c>
      <c r="E1502" s="5">
        <f t="shared" si="98"/>
        <v>1.1300000000000001</v>
      </c>
      <c r="F1502" s="5"/>
      <c r="G1502" s="4">
        <f t="shared" si="96"/>
        <v>2.7120000000000002</v>
      </c>
      <c r="H1502" s="1" t="s">
        <v>10</v>
      </c>
      <c r="I1502" s="46"/>
      <c r="J1502" s="31"/>
      <c r="K1502" s="31"/>
    </row>
    <row r="1503" spans="1:11">
      <c r="A1503" s="13"/>
      <c r="B1503" s="46"/>
      <c r="C1503" s="1">
        <f t="shared" si="97"/>
        <v>11</v>
      </c>
      <c r="D1503" s="5">
        <v>4.5</v>
      </c>
      <c r="E1503" s="5">
        <f t="shared" si="98"/>
        <v>1.43</v>
      </c>
      <c r="F1503" s="5"/>
      <c r="G1503" s="4">
        <f t="shared" si="96"/>
        <v>70.784999999999997</v>
      </c>
      <c r="H1503" s="1" t="s">
        <v>10</v>
      </c>
      <c r="I1503" s="46"/>
      <c r="J1503" s="31"/>
      <c r="K1503" s="31"/>
    </row>
    <row r="1504" spans="1:11">
      <c r="A1504" s="13"/>
      <c r="B1504" s="46"/>
      <c r="C1504" s="1">
        <f t="shared" si="97"/>
        <v>10</v>
      </c>
      <c r="D1504" s="5">
        <v>4.5</v>
      </c>
      <c r="E1504" s="5">
        <f t="shared" si="98"/>
        <v>1.43</v>
      </c>
      <c r="F1504" s="5"/>
      <c r="G1504" s="4">
        <f t="shared" si="96"/>
        <v>64.349999999999994</v>
      </c>
      <c r="H1504" s="1" t="s">
        <v>10</v>
      </c>
      <c r="I1504" s="46"/>
      <c r="J1504" s="31"/>
      <c r="K1504" s="31"/>
    </row>
    <row r="1505" spans="1:11">
      <c r="A1505" s="13"/>
      <c r="B1505" s="46"/>
      <c r="C1505" s="1">
        <f t="shared" si="97"/>
        <v>6</v>
      </c>
      <c r="D1505" s="5">
        <v>2.5</v>
      </c>
      <c r="E1505" s="5">
        <f t="shared" si="98"/>
        <v>1.43</v>
      </c>
      <c r="F1505" s="5"/>
      <c r="G1505" s="4">
        <f t="shared" si="96"/>
        <v>21.45</v>
      </c>
      <c r="H1505" s="1" t="s">
        <v>10</v>
      </c>
      <c r="I1505" s="46"/>
      <c r="J1505" s="31"/>
      <c r="K1505" s="31"/>
    </row>
    <row r="1506" spans="1:11">
      <c r="A1506" s="13"/>
      <c r="B1506" s="46"/>
      <c r="C1506" s="1">
        <f t="shared" si="97"/>
        <v>6</v>
      </c>
      <c r="D1506" s="5">
        <v>2.5</v>
      </c>
      <c r="E1506" s="5">
        <f t="shared" si="98"/>
        <v>1.43</v>
      </c>
      <c r="F1506" s="5"/>
      <c r="G1506" s="4">
        <f t="shared" si="96"/>
        <v>21.45</v>
      </c>
      <c r="H1506" s="1" t="s">
        <v>10</v>
      </c>
      <c r="I1506" s="46"/>
      <c r="J1506" s="31"/>
      <c r="K1506" s="31"/>
    </row>
    <row r="1507" spans="1:11">
      <c r="A1507" s="13"/>
      <c r="B1507" s="1"/>
      <c r="C1507" s="1">
        <f t="shared" si="97"/>
        <v>5</v>
      </c>
      <c r="D1507" s="5">
        <v>1.25</v>
      </c>
      <c r="E1507" s="5">
        <f t="shared" si="98"/>
        <v>1.43</v>
      </c>
      <c r="F1507" s="5"/>
      <c r="G1507" s="4">
        <f t="shared" si="96"/>
        <v>8.9375</v>
      </c>
      <c r="H1507" s="1" t="s">
        <v>10</v>
      </c>
      <c r="I1507" s="46"/>
      <c r="J1507" s="31"/>
      <c r="K1507" s="31"/>
    </row>
    <row r="1508" spans="1:11">
      <c r="A1508" s="13"/>
      <c r="B1508" s="1"/>
      <c r="C1508" s="1">
        <f t="shared" si="97"/>
        <v>5</v>
      </c>
      <c r="D1508" s="5">
        <v>3.75</v>
      </c>
      <c r="E1508" s="5">
        <f t="shared" si="98"/>
        <v>1.43</v>
      </c>
      <c r="F1508" s="5"/>
      <c r="G1508" s="4">
        <f t="shared" si="96"/>
        <v>26.8125</v>
      </c>
      <c r="H1508" s="1" t="s">
        <v>10</v>
      </c>
      <c r="I1508" s="46"/>
      <c r="J1508" s="31"/>
      <c r="K1508" s="31"/>
    </row>
    <row r="1509" spans="1:11">
      <c r="A1509" s="13"/>
      <c r="B1509" s="1"/>
      <c r="C1509" s="1">
        <f t="shared" si="97"/>
        <v>4</v>
      </c>
      <c r="D1509" s="5">
        <v>3.5</v>
      </c>
      <c r="E1509" s="5">
        <f t="shared" si="98"/>
        <v>1.43</v>
      </c>
      <c r="F1509" s="5"/>
      <c r="G1509" s="4">
        <f t="shared" si="96"/>
        <v>20.02</v>
      </c>
      <c r="H1509" s="1" t="s">
        <v>10</v>
      </c>
      <c r="I1509" s="46"/>
      <c r="J1509" s="31"/>
      <c r="K1509" s="31"/>
    </row>
    <row r="1510" spans="1:11">
      <c r="A1510" s="13"/>
      <c r="B1510" s="46"/>
      <c r="C1510" s="1"/>
      <c r="D1510" s="5"/>
      <c r="E1510" s="5"/>
      <c r="F1510" s="5"/>
      <c r="G1510" s="4"/>
      <c r="H1510" s="1"/>
      <c r="I1510" s="46"/>
      <c r="J1510" s="31"/>
      <c r="K1510" s="31"/>
    </row>
    <row r="1511" spans="1:11">
      <c r="A1511" s="13"/>
      <c r="B1511" s="9"/>
      <c r="C1511" s="1"/>
      <c r="D1511" s="5"/>
      <c r="E1511" s="5"/>
      <c r="F1511" s="34" t="s">
        <v>11</v>
      </c>
      <c r="G1511" s="53">
        <f>SUM(G1453:G1510)</f>
        <v>1329.0160249999999</v>
      </c>
      <c r="H1511" s="50" t="s">
        <v>17</v>
      </c>
      <c r="I1511" s="9"/>
      <c r="J1511" s="4"/>
    </row>
    <row r="1512" spans="1:11">
      <c r="A1512" s="13"/>
      <c r="B1512" s="9"/>
      <c r="C1512" s="1"/>
      <c r="D1512" s="1"/>
      <c r="E1512" s="1"/>
      <c r="F1512" s="56" t="s">
        <v>13</v>
      </c>
      <c r="G1512" s="27">
        <f>ROUNDUP(G1511,0)</f>
        <v>1330</v>
      </c>
      <c r="H1512" s="28" t="s">
        <v>17</v>
      </c>
      <c r="I1512" s="9"/>
      <c r="J1512" s="4"/>
    </row>
    <row r="1513" spans="1:11">
      <c r="A1513" s="13"/>
      <c r="B1513" s="9"/>
      <c r="C1513" s="1"/>
      <c r="D1513" s="1"/>
      <c r="E1513" s="1"/>
      <c r="F1513" s="1"/>
      <c r="G1513" s="33"/>
      <c r="H1513" s="24"/>
      <c r="I1513" s="9"/>
      <c r="J1513" s="4"/>
    </row>
    <row r="1514" spans="1:11">
      <c r="A1514" s="13"/>
      <c r="B1514" s="15" t="s">
        <v>445</v>
      </c>
      <c r="C1514" s="31"/>
      <c r="D1514" s="31"/>
      <c r="E1514" s="31"/>
      <c r="F1514" s="31"/>
      <c r="H1514" s="31"/>
      <c r="I1514" s="9"/>
      <c r="J1514" s="4"/>
    </row>
    <row r="1515" spans="1:11">
      <c r="A1515" s="13"/>
      <c r="B1515" s="46" t="s">
        <v>491</v>
      </c>
      <c r="C1515" s="1">
        <v>1</v>
      </c>
      <c r="D1515" s="5">
        <v>3.62</v>
      </c>
      <c r="E1515" s="5">
        <v>2.96</v>
      </c>
      <c r="F1515" s="5"/>
      <c r="G1515" s="4">
        <f>C1515*D1515*E1515</f>
        <v>10.715199999999999</v>
      </c>
      <c r="H1515" s="1" t="s">
        <v>17</v>
      </c>
      <c r="I1515" s="9"/>
      <c r="J1515" s="4"/>
    </row>
    <row r="1516" spans="1:11">
      <c r="A1516" s="13"/>
      <c r="B1516" s="46" t="s">
        <v>492</v>
      </c>
      <c r="C1516" s="1">
        <v>1</v>
      </c>
      <c r="D1516" s="5">
        <v>3.62</v>
      </c>
      <c r="E1516" s="5">
        <v>1.35</v>
      </c>
      <c r="F1516" s="5"/>
      <c r="G1516" s="4">
        <f t="shared" ref="G1516:G1543" si="99">C1516*D1516*E1516</f>
        <v>4.8870000000000005</v>
      </c>
      <c r="H1516" s="1" t="s">
        <v>10</v>
      </c>
      <c r="I1516" s="9"/>
      <c r="J1516" s="4"/>
    </row>
    <row r="1517" spans="1:11">
      <c r="A1517" s="13"/>
      <c r="B1517" s="46" t="s">
        <v>136</v>
      </c>
      <c r="C1517" s="1">
        <v>1</v>
      </c>
      <c r="D1517" s="5">
        <v>6.5650000000000004</v>
      </c>
      <c r="E1517" s="5">
        <v>5.4749999999999996</v>
      </c>
      <c r="F1517" s="5"/>
      <c r="G1517" s="4">
        <f t="shared" si="99"/>
        <v>35.943375000000003</v>
      </c>
      <c r="H1517" s="1" t="s">
        <v>10</v>
      </c>
      <c r="I1517" s="9"/>
      <c r="J1517" s="4"/>
    </row>
    <row r="1518" spans="1:11">
      <c r="A1518" s="13"/>
      <c r="B1518" s="46" t="s">
        <v>493</v>
      </c>
      <c r="C1518" s="1">
        <v>1</v>
      </c>
      <c r="D1518" s="5">
        <v>22.035</v>
      </c>
      <c r="E1518" s="5">
        <v>4.2699999999999996</v>
      </c>
      <c r="F1518" s="5"/>
      <c r="G1518" s="4">
        <f t="shared" si="99"/>
        <v>94.089449999999985</v>
      </c>
      <c r="H1518" s="1" t="s">
        <v>10</v>
      </c>
      <c r="I1518" s="9"/>
      <c r="J1518" s="4"/>
    </row>
    <row r="1519" spans="1:11">
      <c r="A1519" s="13"/>
      <c r="B1519" s="46"/>
      <c r="C1519" s="1">
        <v>1</v>
      </c>
      <c r="D1519" s="5">
        <v>4.875</v>
      </c>
      <c r="E1519" s="5">
        <v>5.7050000000000001</v>
      </c>
      <c r="F1519" s="5"/>
      <c r="G1519" s="4">
        <f t="shared" si="99"/>
        <v>27.811875000000001</v>
      </c>
      <c r="H1519" s="1" t="s">
        <v>10</v>
      </c>
      <c r="I1519" s="9"/>
      <c r="J1519" s="4"/>
    </row>
    <row r="1520" spans="1:11">
      <c r="A1520" s="13"/>
      <c r="B1520" s="46" t="s">
        <v>494</v>
      </c>
      <c r="C1520" s="1">
        <v>1</v>
      </c>
      <c r="D1520" s="5">
        <v>3.43</v>
      </c>
      <c r="E1520" s="5">
        <v>5.59</v>
      </c>
      <c r="F1520" s="5"/>
      <c r="G1520" s="4">
        <f t="shared" si="99"/>
        <v>19.1737</v>
      </c>
      <c r="H1520" s="1" t="s">
        <v>10</v>
      </c>
      <c r="I1520" s="9"/>
      <c r="J1520" s="4"/>
    </row>
    <row r="1521" spans="1:10">
      <c r="A1521" s="13"/>
      <c r="B1521" s="46" t="s">
        <v>492</v>
      </c>
      <c r="C1521" s="1">
        <v>1</v>
      </c>
      <c r="D1521" s="5">
        <v>1.35</v>
      </c>
      <c r="E1521" s="5">
        <v>2.8149999999999999</v>
      </c>
      <c r="F1521" s="5"/>
      <c r="G1521" s="4">
        <f t="shared" si="99"/>
        <v>3.8002500000000001</v>
      </c>
      <c r="H1521" s="1" t="s">
        <v>10</v>
      </c>
      <c r="I1521" s="9"/>
      <c r="J1521" s="4"/>
    </row>
    <row r="1522" spans="1:10">
      <c r="A1522" s="13"/>
      <c r="B1522" s="46" t="s">
        <v>495</v>
      </c>
      <c r="C1522" s="1">
        <v>1</v>
      </c>
      <c r="D1522" s="5">
        <v>2.8149999999999999</v>
      </c>
      <c r="E1522" s="5">
        <v>1.605</v>
      </c>
      <c r="F1522" s="5"/>
      <c r="G1522" s="4">
        <f t="shared" si="99"/>
        <v>4.5180749999999996</v>
      </c>
      <c r="H1522" s="1" t="s">
        <v>10</v>
      </c>
      <c r="I1522" s="9"/>
      <c r="J1522" s="4"/>
    </row>
    <row r="1523" spans="1:10">
      <c r="A1523" s="13"/>
      <c r="B1523" s="46" t="s">
        <v>478</v>
      </c>
      <c r="C1523" s="1">
        <v>1</v>
      </c>
      <c r="D1523" s="5">
        <v>1.35</v>
      </c>
      <c r="E1523" s="5">
        <v>1.4550000000000001</v>
      </c>
      <c r="F1523" s="5"/>
      <c r="G1523" s="4">
        <f t="shared" si="99"/>
        <v>1.9642500000000003</v>
      </c>
      <c r="H1523" s="1" t="s">
        <v>10</v>
      </c>
      <c r="I1523" s="9"/>
      <c r="J1523" s="4"/>
    </row>
    <row r="1524" spans="1:10">
      <c r="A1524" s="13"/>
      <c r="B1524" s="46" t="s">
        <v>496</v>
      </c>
      <c r="C1524" s="1">
        <v>1</v>
      </c>
      <c r="D1524" s="5">
        <v>1.35</v>
      </c>
      <c r="E1524" s="5">
        <v>1.8</v>
      </c>
      <c r="F1524" s="5"/>
      <c r="G1524" s="4">
        <f t="shared" si="99"/>
        <v>2.4300000000000002</v>
      </c>
      <c r="H1524" s="1" t="s">
        <v>10</v>
      </c>
      <c r="I1524" s="9"/>
      <c r="J1524" s="4"/>
    </row>
    <row r="1525" spans="1:10">
      <c r="A1525" s="13"/>
      <c r="B1525" s="46" t="s">
        <v>497</v>
      </c>
      <c r="C1525" s="1">
        <v>1</v>
      </c>
      <c r="D1525" s="5">
        <v>1.35</v>
      </c>
      <c r="E1525" s="5">
        <v>2.8149999999999999</v>
      </c>
      <c r="F1525" s="5"/>
      <c r="G1525" s="4">
        <f t="shared" si="99"/>
        <v>3.8002500000000001</v>
      </c>
      <c r="H1525" s="1" t="s">
        <v>10</v>
      </c>
      <c r="I1525" s="9"/>
      <c r="J1525" s="4"/>
    </row>
    <row r="1526" spans="1:10">
      <c r="A1526" s="13"/>
      <c r="B1526" s="46" t="s">
        <v>498</v>
      </c>
      <c r="C1526" s="1">
        <v>1</v>
      </c>
      <c r="D1526" s="5">
        <v>2.42</v>
      </c>
      <c r="E1526" s="5">
        <v>4.6150000000000002</v>
      </c>
      <c r="F1526" s="5"/>
      <c r="G1526" s="4">
        <f t="shared" si="99"/>
        <v>11.1683</v>
      </c>
      <c r="H1526" s="1" t="s">
        <v>10</v>
      </c>
      <c r="I1526" s="9"/>
      <c r="J1526" s="4"/>
    </row>
    <row r="1527" spans="1:10">
      <c r="A1527" s="13"/>
      <c r="B1527" s="46"/>
      <c r="C1527" s="1">
        <v>1</v>
      </c>
      <c r="D1527" s="5">
        <v>5.12</v>
      </c>
      <c r="E1527" s="5">
        <v>1.76</v>
      </c>
      <c r="F1527" s="5"/>
      <c r="G1527" s="4">
        <f t="shared" si="99"/>
        <v>9.0112000000000005</v>
      </c>
      <c r="H1527" s="1" t="s">
        <v>10</v>
      </c>
      <c r="I1527" s="9"/>
      <c r="J1527" s="4"/>
    </row>
    <row r="1528" spans="1:10">
      <c r="A1528" s="13"/>
      <c r="B1528" s="46" t="s">
        <v>499</v>
      </c>
      <c r="C1528" s="1">
        <v>1</v>
      </c>
      <c r="D1528" s="5">
        <v>4.8949999999999996</v>
      </c>
      <c r="E1528" s="5">
        <v>5.7050000000000001</v>
      </c>
      <c r="F1528" s="5"/>
      <c r="G1528" s="4">
        <f t="shared" si="99"/>
        <v>27.925974999999998</v>
      </c>
      <c r="H1528" s="1" t="s">
        <v>10</v>
      </c>
      <c r="I1528" s="9"/>
      <c r="J1528" s="4"/>
    </row>
    <row r="1529" spans="1:10">
      <c r="A1529" s="13"/>
      <c r="B1529" s="46" t="s">
        <v>500</v>
      </c>
      <c r="C1529" s="1">
        <v>1</v>
      </c>
      <c r="D1529" s="5">
        <v>4.8849999999999998</v>
      </c>
      <c r="E1529" s="5">
        <v>7.61</v>
      </c>
      <c r="F1529" s="5"/>
      <c r="G1529" s="4">
        <f t="shared" si="99"/>
        <v>37.174849999999999</v>
      </c>
      <c r="H1529" s="1" t="s">
        <v>10</v>
      </c>
      <c r="I1529" s="9"/>
      <c r="J1529" s="4"/>
    </row>
    <row r="1530" spans="1:10">
      <c r="A1530" s="13"/>
      <c r="B1530" s="46"/>
      <c r="C1530" s="1">
        <v>1</v>
      </c>
      <c r="D1530" s="5">
        <v>4.8849999999999998</v>
      </c>
      <c r="E1530" s="5">
        <v>2.25</v>
      </c>
      <c r="F1530" s="5"/>
      <c r="G1530" s="4">
        <f t="shared" si="99"/>
        <v>10.991249999999999</v>
      </c>
      <c r="H1530" s="1" t="s">
        <v>10</v>
      </c>
      <c r="I1530" s="9"/>
      <c r="J1530" s="4"/>
    </row>
    <row r="1531" spans="1:10">
      <c r="A1531" s="13"/>
      <c r="B1531" s="46" t="s">
        <v>501</v>
      </c>
      <c r="C1531" s="1">
        <v>1</v>
      </c>
      <c r="D1531" s="5">
        <v>3.1549999999999998</v>
      </c>
      <c r="E1531" s="5">
        <v>5.23</v>
      </c>
      <c r="F1531" s="5"/>
      <c r="G1531" s="4">
        <f t="shared" si="99"/>
        <v>16.50065</v>
      </c>
      <c r="H1531" s="1" t="s">
        <v>10</v>
      </c>
      <c r="I1531" s="9"/>
      <c r="J1531" s="4"/>
    </row>
    <row r="1532" spans="1:10">
      <c r="A1532" s="13"/>
      <c r="B1532" s="46" t="s">
        <v>492</v>
      </c>
      <c r="C1532" s="1">
        <v>1</v>
      </c>
      <c r="D1532" s="5">
        <v>1.5</v>
      </c>
      <c r="E1532" s="5">
        <v>2.5</v>
      </c>
      <c r="F1532" s="5"/>
      <c r="G1532" s="4">
        <f t="shared" si="99"/>
        <v>3.75</v>
      </c>
      <c r="H1532" s="1" t="s">
        <v>10</v>
      </c>
      <c r="I1532" s="9"/>
      <c r="J1532" s="4"/>
    </row>
    <row r="1533" spans="1:10">
      <c r="A1533" s="13"/>
      <c r="B1533" s="46" t="s">
        <v>502</v>
      </c>
      <c r="C1533" s="1">
        <v>1</v>
      </c>
      <c r="D1533" s="5">
        <v>1.5</v>
      </c>
      <c r="E1533" s="5">
        <v>1.41</v>
      </c>
      <c r="F1533" s="5"/>
      <c r="G1533" s="4">
        <f t="shared" si="99"/>
        <v>2.1149999999999998</v>
      </c>
      <c r="H1533" s="1" t="s">
        <v>10</v>
      </c>
      <c r="I1533" s="9"/>
      <c r="J1533" s="4"/>
    </row>
    <row r="1534" spans="1:10">
      <c r="A1534" s="13"/>
      <c r="B1534" s="46" t="s">
        <v>503</v>
      </c>
      <c r="C1534" s="1">
        <v>1</v>
      </c>
      <c r="D1534" s="5">
        <v>4.8849999999999998</v>
      </c>
      <c r="E1534" s="5">
        <v>4.2149999999999999</v>
      </c>
      <c r="F1534" s="5"/>
      <c r="G1534" s="4">
        <f t="shared" si="99"/>
        <v>20.590274999999998</v>
      </c>
      <c r="H1534" s="1" t="s">
        <v>10</v>
      </c>
      <c r="I1534" s="9"/>
      <c r="J1534" s="4"/>
    </row>
    <row r="1535" spans="1:10">
      <c r="A1535" s="13"/>
      <c r="B1535" s="46"/>
      <c r="C1535" s="1">
        <v>1</v>
      </c>
      <c r="D1535" s="5">
        <v>2.29</v>
      </c>
      <c r="E1535" s="5">
        <v>2.5150000000000001</v>
      </c>
      <c r="F1535" s="5"/>
      <c r="G1535" s="4">
        <f t="shared" si="99"/>
        <v>5.7593500000000004</v>
      </c>
      <c r="H1535" s="1" t="s">
        <v>10</v>
      </c>
      <c r="I1535" s="9"/>
      <c r="J1535" s="4"/>
    </row>
    <row r="1536" spans="1:10">
      <c r="A1536" s="13"/>
      <c r="B1536" s="46" t="s">
        <v>504</v>
      </c>
      <c r="C1536" s="1">
        <v>1</v>
      </c>
      <c r="D1536" s="5">
        <v>2.48</v>
      </c>
      <c r="E1536" s="5">
        <v>1.35</v>
      </c>
      <c r="F1536" s="5"/>
      <c r="G1536" s="4">
        <f t="shared" si="99"/>
        <v>3.3480000000000003</v>
      </c>
      <c r="H1536" s="1" t="s">
        <v>10</v>
      </c>
      <c r="I1536" s="9"/>
      <c r="J1536" s="4"/>
    </row>
    <row r="1537" spans="1:10">
      <c r="A1537" s="13"/>
      <c r="B1537" s="46" t="s">
        <v>505</v>
      </c>
      <c r="C1537" s="1">
        <v>1</v>
      </c>
      <c r="D1537" s="5">
        <v>1.5</v>
      </c>
      <c r="E1537" s="5">
        <v>1.05</v>
      </c>
      <c r="F1537" s="5"/>
      <c r="G1537" s="4">
        <f t="shared" si="99"/>
        <v>1.5750000000000002</v>
      </c>
      <c r="H1537" s="1" t="s">
        <v>10</v>
      </c>
      <c r="I1537" s="9"/>
      <c r="J1537" s="4"/>
    </row>
    <row r="1538" spans="1:10">
      <c r="A1538" s="13"/>
      <c r="B1538" s="1"/>
      <c r="C1538" s="1">
        <v>1</v>
      </c>
      <c r="D1538" s="5">
        <v>1.05</v>
      </c>
      <c r="E1538" s="5">
        <v>0.98</v>
      </c>
      <c r="F1538" s="5"/>
      <c r="G1538" s="4">
        <f t="shared" si="99"/>
        <v>1.0289999999999999</v>
      </c>
      <c r="H1538" s="1" t="s">
        <v>10</v>
      </c>
      <c r="I1538" s="9"/>
      <c r="J1538" s="4"/>
    </row>
    <row r="1539" spans="1:10">
      <c r="A1539" s="13"/>
      <c r="B1539" s="46" t="s">
        <v>136</v>
      </c>
      <c r="C1539" s="1">
        <v>1</v>
      </c>
      <c r="D1539" s="5">
        <v>4.7699999999999996</v>
      </c>
      <c r="E1539" s="5">
        <v>4.63</v>
      </c>
      <c r="F1539" s="5"/>
      <c r="G1539" s="4">
        <f t="shared" si="99"/>
        <v>22.085099999999997</v>
      </c>
      <c r="H1539" s="1" t="s">
        <v>10</v>
      </c>
      <c r="I1539" s="9"/>
      <c r="J1539" s="4"/>
    </row>
    <row r="1540" spans="1:10">
      <c r="A1540" s="13"/>
      <c r="B1540" s="46"/>
      <c r="C1540" s="1">
        <v>1</v>
      </c>
      <c r="D1540" s="5">
        <v>1.8</v>
      </c>
      <c r="E1540" s="5">
        <v>5</v>
      </c>
      <c r="F1540" s="5"/>
      <c r="G1540" s="4">
        <f t="shared" si="99"/>
        <v>9</v>
      </c>
      <c r="H1540" s="1" t="s">
        <v>10</v>
      </c>
      <c r="I1540" s="9"/>
      <c r="J1540" s="4"/>
    </row>
    <row r="1541" spans="1:10">
      <c r="A1541" s="13"/>
      <c r="B1541" s="46" t="s">
        <v>506</v>
      </c>
      <c r="C1541" s="1">
        <v>1</v>
      </c>
      <c r="D1541" s="5">
        <v>7.8550000000000004</v>
      </c>
      <c r="E1541" s="5">
        <v>4.8849999999999998</v>
      </c>
      <c r="F1541" s="5"/>
      <c r="G1541" s="4">
        <f t="shared" si="99"/>
        <v>38.371675000000003</v>
      </c>
      <c r="H1541" s="1" t="s">
        <v>10</v>
      </c>
      <c r="I1541" s="9"/>
      <c r="J1541" s="4"/>
    </row>
    <row r="1542" spans="1:10">
      <c r="A1542" s="13"/>
      <c r="B1542" s="46" t="s">
        <v>507</v>
      </c>
      <c r="C1542" s="1">
        <v>1</v>
      </c>
      <c r="D1542" s="5">
        <v>5</v>
      </c>
      <c r="E1542" s="5">
        <v>3.1549999999999998</v>
      </c>
      <c r="F1542" s="5"/>
      <c r="G1542" s="4">
        <f t="shared" si="99"/>
        <v>15.774999999999999</v>
      </c>
      <c r="H1542" s="1" t="s">
        <v>10</v>
      </c>
      <c r="I1542" s="9"/>
      <c r="J1542" s="4"/>
    </row>
    <row r="1543" spans="1:10">
      <c r="A1543" s="13"/>
      <c r="B1543" s="46" t="s">
        <v>508</v>
      </c>
      <c r="C1543" s="1">
        <v>1</v>
      </c>
      <c r="D1543" s="5">
        <v>5.43</v>
      </c>
      <c r="E1543" s="5">
        <v>4.7699999999999996</v>
      </c>
      <c r="F1543" s="5"/>
      <c r="G1543" s="4">
        <f t="shared" si="99"/>
        <v>25.901099999999996</v>
      </c>
      <c r="H1543" s="1" t="s">
        <v>10</v>
      </c>
      <c r="I1543" s="9"/>
      <c r="J1543" s="4"/>
    </row>
    <row r="1544" spans="1:10">
      <c r="A1544" s="13"/>
      <c r="B1544" s="46" t="s">
        <v>490</v>
      </c>
      <c r="C1544" s="31"/>
      <c r="D1544" s="5"/>
      <c r="E1544" s="5"/>
      <c r="F1544" s="5"/>
      <c r="G1544" s="4"/>
      <c r="H1544" s="1"/>
      <c r="I1544" s="9"/>
      <c r="J1544" s="4"/>
    </row>
    <row r="1545" spans="1:10">
      <c r="A1545" s="13"/>
      <c r="B1545" s="46" t="str">
        <f>B662</f>
        <v xml:space="preserve">   @7.30 m Lvl</v>
      </c>
      <c r="C1545" s="1">
        <f>C662</f>
        <v>6</v>
      </c>
      <c r="D1545" s="5">
        <v>10</v>
      </c>
      <c r="E1545" s="5">
        <f>E287+F287+F287</f>
        <v>1.5</v>
      </c>
      <c r="F1545" s="5"/>
      <c r="G1545" s="4">
        <f>C1545*D1545*E1545</f>
        <v>90</v>
      </c>
      <c r="H1545" s="1" t="s">
        <v>10</v>
      </c>
      <c r="I1545" s="46"/>
      <c r="J1545" s="4"/>
    </row>
    <row r="1546" spans="1:10">
      <c r="A1546" s="13"/>
      <c r="B1546" s="1"/>
      <c r="C1546" s="1">
        <f>C663</f>
        <v>2</v>
      </c>
      <c r="D1546" s="5">
        <v>26</v>
      </c>
      <c r="E1546" s="5">
        <f>E288+F288+F288</f>
        <v>1.5</v>
      </c>
      <c r="F1546" s="5"/>
      <c r="G1546" s="4">
        <f t="shared" ref="G1546:G1567" si="100">C1546*D1546*E1546</f>
        <v>78</v>
      </c>
      <c r="H1546" s="1" t="s">
        <v>10</v>
      </c>
      <c r="J1546" s="4"/>
    </row>
    <row r="1547" spans="1:10">
      <c r="A1547" s="13"/>
      <c r="B1547" s="46" t="str">
        <f>B640</f>
        <v xml:space="preserve">   @ 8.30m Lvl</v>
      </c>
      <c r="C1547" s="1">
        <f t="shared" ref="C1547:D1567" si="101">C266</f>
        <v>3</v>
      </c>
      <c r="D1547" s="5">
        <f t="shared" si="101"/>
        <v>5.2</v>
      </c>
      <c r="E1547" s="5">
        <f t="shared" ref="E1547:E1567" si="102">E266+F266+F266</f>
        <v>1.43</v>
      </c>
      <c r="F1547" s="5"/>
      <c r="G1547" s="4">
        <f t="shared" si="100"/>
        <v>22.308</v>
      </c>
      <c r="H1547" s="1" t="s">
        <v>10</v>
      </c>
      <c r="I1547" s="9"/>
      <c r="J1547" s="4"/>
    </row>
    <row r="1548" spans="1:10">
      <c r="A1548" s="13"/>
      <c r="B1548" s="1"/>
      <c r="C1548" s="1">
        <f t="shared" si="101"/>
        <v>3</v>
      </c>
      <c r="D1548" s="5">
        <f t="shared" si="101"/>
        <v>5.2</v>
      </c>
      <c r="E1548" s="5">
        <f t="shared" si="102"/>
        <v>1.43</v>
      </c>
      <c r="F1548" s="5"/>
      <c r="G1548" s="4">
        <f t="shared" si="100"/>
        <v>22.308</v>
      </c>
      <c r="H1548" s="1" t="s">
        <v>10</v>
      </c>
      <c r="I1548" s="9"/>
      <c r="J1548" s="4"/>
    </row>
    <row r="1549" spans="1:10">
      <c r="A1549" s="13"/>
      <c r="B1549" s="1"/>
      <c r="C1549" s="1">
        <f t="shared" si="101"/>
        <v>4</v>
      </c>
      <c r="D1549" s="5">
        <f t="shared" si="101"/>
        <v>5.2</v>
      </c>
      <c r="E1549" s="5">
        <f t="shared" si="102"/>
        <v>1.43</v>
      </c>
      <c r="F1549" s="5"/>
      <c r="G1549" s="4">
        <f t="shared" si="100"/>
        <v>29.744</v>
      </c>
      <c r="H1549" s="1" t="s">
        <v>10</v>
      </c>
      <c r="I1549" s="9"/>
      <c r="J1549" s="4"/>
    </row>
    <row r="1550" spans="1:10">
      <c r="A1550" s="13"/>
      <c r="B1550" s="1"/>
      <c r="C1550" s="1">
        <f t="shared" si="101"/>
        <v>4</v>
      </c>
      <c r="D1550" s="5">
        <f t="shared" si="101"/>
        <v>3</v>
      </c>
      <c r="E1550" s="5">
        <f t="shared" si="102"/>
        <v>1.43</v>
      </c>
      <c r="F1550" s="5"/>
      <c r="G1550" s="4">
        <f t="shared" si="100"/>
        <v>17.16</v>
      </c>
      <c r="H1550" s="1" t="s">
        <v>10</v>
      </c>
      <c r="I1550" s="9"/>
      <c r="J1550" s="4"/>
    </row>
    <row r="1551" spans="1:10">
      <c r="A1551" s="13"/>
      <c r="B1551" s="1"/>
      <c r="C1551" s="1">
        <f t="shared" si="101"/>
        <v>1</v>
      </c>
      <c r="D1551" s="5">
        <f t="shared" si="101"/>
        <v>3</v>
      </c>
      <c r="E1551" s="5">
        <f t="shared" si="102"/>
        <v>1.1300000000000001</v>
      </c>
      <c r="F1551" s="5"/>
      <c r="G1551" s="4">
        <f t="shared" si="100"/>
        <v>3.3900000000000006</v>
      </c>
      <c r="H1551" s="1" t="s">
        <v>10</v>
      </c>
      <c r="I1551" s="9"/>
      <c r="J1551" s="4"/>
    </row>
    <row r="1552" spans="1:10">
      <c r="A1552" s="13"/>
      <c r="B1552" s="1"/>
      <c r="C1552" s="1">
        <f t="shared" si="101"/>
        <v>3</v>
      </c>
      <c r="D1552" s="5">
        <f t="shared" si="101"/>
        <v>2.2000000000000002</v>
      </c>
      <c r="E1552" s="5">
        <f t="shared" si="102"/>
        <v>1.43</v>
      </c>
      <c r="F1552" s="5"/>
      <c r="G1552" s="4">
        <f t="shared" si="100"/>
        <v>9.4380000000000006</v>
      </c>
      <c r="H1552" s="1" t="s">
        <v>10</v>
      </c>
      <c r="I1552" s="9"/>
      <c r="J1552" s="4"/>
    </row>
    <row r="1553" spans="1:10">
      <c r="A1553" s="13"/>
      <c r="B1553" s="1"/>
      <c r="C1553" s="1">
        <f t="shared" si="101"/>
        <v>1</v>
      </c>
      <c r="D1553" s="5">
        <f t="shared" si="101"/>
        <v>2.2000000000000002</v>
      </c>
      <c r="E1553" s="5">
        <f t="shared" si="102"/>
        <v>1.1300000000000001</v>
      </c>
      <c r="F1553" s="5"/>
      <c r="G1553" s="4">
        <f t="shared" si="100"/>
        <v>2.4860000000000007</v>
      </c>
      <c r="H1553" s="1" t="s">
        <v>10</v>
      </c>
      <c r="I1553" s="9"/>
      <c r="J1553" s="4"/>
    </row>
    <row r="1554" spans="1:10">
      <c r="A1554" s="13"/>
      <c r="B1554" s="1"/>
      <c r="C1554" s="1">
        <f t="shared" si="101"/>
        <v>3</v>
      </c>
      <c r="D1554" s="5">
        <f t="shared" si="101"/>
        <v>5.2</v>
      </c>
      <c r="E1554" s="5">
        <f t="shared" si="102"/>
        <v>1.43</v>
      </c>
      <c r="F1554" s="5"/>
      <c r="G1554" s="4">
        <f t="shared" si="100"/>
        <v>22.308</v>
      </c>
      <c r="H1554" s="1" t="s">
        <v>10</v>
      </c>
      <c r="I1554" s="9"/>
      <c r="J1554" s="4"/>
    </row>
    <row r="1555" spans="1:10">
      <c r="A1555" s="13"/>
      <c r="B1555" s="1"/>
      <c r="C1555" s="1">
        <f t="shared" si="101"/>
        <v>5</v>
      </c>
      <c r="D1555" s="5">
        <f t="shared" si="101"/>
        <v>2.5</v>
      </c>
      <c r="E1555" s="5">
        <f t="shared" si="102"/>
        <v>1.43</v>
      </c>
      <c r="F1555" s="5"/>
      <c r="G1555" s="4">
        <f t="shared" si="100"/>
        <v>17.875</v>
      </c>
      <c r="H1555" s="1" t="s">
        <v>10</v>
      </c>
      <c r="I1555" s="9"/>
      <c r="J1555" s="4"/>
    </row>
    <row r="1556" spans="1:10">
      <c r="A1556" s="13"/>
      <c r="B1556" s="1"/>
      <c r="C1556" s="1">
        <f t="shared" si="101"/>
        <v>5</v>
      </c>
      <c r="D1556" s="5">
        <f t="shared" si="101"/>
        <v>2.5</v>
      </c>
      <c r="E1556" s="5">
        <f t="shared" si="102"/>
        <v>1.43</v>
      </c>
      <c r="F1556" s="5"/>
      <c r="G1556" s="4">
        <f t="shared" si="100"/>
        <v>17.875</v>
      </c>
      <c r="H1556" s="1" t="s">
        <v>10</v>
      </c>
      <c r="I1556" s="9"/>
      <c r="J1556" s="4"/>
    </row>
    <row r="1557" spans="1:10">
      <c r="A1557" s="13"/>
      <c r="B1557" s="1"/>
      <c r="C1557" s="1">
        <f t="shared" si="101"/>
        <v>6</v>
      </c>
      <c r="D1557" s="5">
        <f t="shared" si="101"/>
        <v>5</v>
      </c>
      <c r="E1557" s="5">
        <f t="shared" si="102"/>
        <v>1.43</v>
      </c>
      <c r="F1557" s="5"/>
      <c r="G1557" s="4">
        <f t="shared" si="100"/>
        <v>42.9</v>
      </c>
      <c r="H1557" s="1" t="s">
        <v>10</v>
      </c>
      <c r="I1557" s="9"/>
      <c r="J1557" s="4"/>
    </row>
    <row r="1558" spans="1:10">
      <c r="A1558" s="13"/>
      <c r="B1558" s="1"/>
      <c r="C1558" s="1">
        <f t="shared" si="101"/>
        <v>6</v>
      </c>
      <c r="D1558" s="5">
        <f t="shared" si="101"/>
        <v>5</v>
      </c>
      <c r="E1558" s="5">
        <f t="shared" si="102"/>
        <v>1.43</v>
      </c>
      <c r="F1558" s="5"/>
      <c r="G1558" s="4">
        <f t="shared" si="100"/>
        <v>42.9</v>
      </c>
      <c r="H1558" s="1" t="s">
        <v>10</v>
      </c>
      <c r="I1558" s="9"/>
      <c r="J1558" s="4"/>
    </row>
    <row r="1559" spans="1:10">
      <c r="A1559" s="13"/>
      <c r="B1559" s="1"/>
      <c r="C1559" s="1">
        <f t="shared" si="101"/>
        <v>3</v>
      </c>
      <c r="D1559" s="5">
        <f t="shared" si="101"/>
        <v>1.2749999999999999</v>
      </c>
      <c r="E1559" s="5">
        <f t="shared" si="102"/>
        <v>1.43</v>
      </c>
      <c r="F1559" s="5"/>
      <c r="G1559" s="4">
        <f t="shared" si="100"/>
        <v>5.4697499999999994</v>
      </c>
      <c r="H1559" s="1" t="s">
        <v>10</v>
      </c>
      <c r="I1559" s="9"/>
      <c r="J1559" s="4"/>
    </row>
    <row r="1560" spans="1:10">
      <c r="A1560" s="13"/>
      <c r="B1560" s="1"/>
      <c r="C1560" s="1">
        <f t="shared" si="101"/>
        <v>2</v>
      </c>
      <c r="D1560" s="5">
        <f t="shared" si="101"/>
        <v>0.79</v>
      </c>
      <c r="E1560" s="5">
        <f t="shared" si="102"/>
        <v>1.1300000000000001</v>
      </c>
      <c r="F1560" s="5"/>
      <c r="G1560" s="4">
        <f t="shared" si="100"/>
        <v>1.7854000000000003</v>
      </c>
      <c r="H1560" s="1" t="s">
        <v>10</v>
      </c>
      <c r="I1560" s="9"/>
      <c r="J1560" s="4"/>
    </row>
    <row r="1561" spans="1:10">
      <c r="A1561" s="13"/>
      <c r="B1561" s="1"/>
      <c r="C1561" s="1">
        <f t="shared" si="101"/>
        <v>2</v>
      </c>
      <c r="D1561" s="5">
        <f t="shared" si="101"/>
        <v>1.2</v>
      </c>
      <c r="E1561" s="5">
        <f t="shared" si="102"/>
        <v>1.1300000000000001</v>
      </c>
      <c r="F1561" s="5"/>
      <c r="G1561" s="4">
        <f t="shared" si="100"/>
        <v>2.7120000000000002</v>
      </c>
      <c r="H1561" s="1" t="s">
        <v>10</v>
      </c>
      <c r="I1561" s="9"/>
      <c r="J1561" s="4"/>
    </row>
    <row r="1562" spans="1:10">
      <c r="A1562" s="13"/>
      <c r="B1562" s="1"/>
      <c r="C1562" s="1">
        <f t="shared" si="101"/>
        <v>10</v>
      </c>
      <c r="D1562" s="5">
        <f t="shared" si="101"/>
        <v>4.5</v>
      </c>
      <c r="E1562" s="5">
        <f t="shared" si="102"/>
        <v>1.43</v>
      </c>
      <c r="F1562" s="5"/>
      <c r="G1562" s="4">
        <f t="shared" si="100"/>
        <v>64.349999999999994</v>
      </c>
      <c r="H1562" s="1" t="s">
        <v>10</v>
      </c>
      <c r="I1562" s="9"/>
      <c r="J1562" s="4"/>
    </row>
    <row r="1563" spans="1:10">
      <c r="A1563" s="13"/>
      <c r="B1563" s="1"/>
      <c r="C1563" s="1">
        <f t="shared" si="101"/>
        <v>10</v>
      </c>
      <c r="D1563" s="5">
        <f t="shared" si="101"/>
        <v>4.5</v>
      </c>
      <c r="E1563" s="5">
        <f t="shared" si="102"/>
        <v>1.43</v>
      </c>
      <c r="F1563" s="5"/>
      <c r="G1563" s="4">
        <f t="shared" si="100"/>
        <v>64.349999999999994</v>
      </c>
      <c r="H1563" s="1" t="s">
        <v>10</v>
      </c>
      <c r="I1563" s="9"/>
      <c r="J1563" s="4"/>
    </row>
    <row r="1564" spans="1:10">
      <c r="A1564" s="13"/>
      <c r="B1564" s="1"/>
      <c r="C1564" s="1">
        <f t="shared" si="101"/>
        <v>4</v>
      </c>
      <c r="D1564" s="5">
        <f t="shared" si="101"/>
        <v>2.5</v>
      </c>
      <c r="E1564" s="5">
        <f t="shared" si="102"/>
        <v>1.43</v>
      </c>
      <c r="F1564" s="5"/>
      <c r="G1564" s="4">
        <f t="shared" si="100"/>
        <v>14.299999999999999</v>
      </c>
      <c r="H1564" s="1" t="s">
        <v>10</v>
      </c>
      <c r="I1564" s="9"/>
      <c r="J1564" s="4"/>
    </row>
    <row r="1565" spans="1:10">
      <c r="A1565" s="13"/>
      <c r="B1565" s="1"/>
      <c r="C1565" s="1">
        <f t="shared" si="101"/>
        <v>4</v>
      </c>
      <c r="D1565" s="5">
        <f t="shared" si="101"/>
        <v>2.5</v>
      </c>
      <c r="E1565" s="5">
        <f t="shared" si="102"/>
        <v>1.43</v>
      </c>
      <c r="F1565" s="5"/>
      <c r="G1565" s="4">
        <f t="shared" si="100"/>
        <v>14.299999999999999</v>
      </c>
      <c r="H1565" s="1" t="s">
        <v>10</v>
      </c>
      <c r="I1565" s="9"/>
      <c r="J1565" s="4"/>
    </row>
    <row r="1566" spans="1:10">
      <c r="A1566" s="13"/>
      <c r="B1566" s="1"/>
      <c r="C1566" s="1">
        <f t="shared" si="101"/>
        <v>4</v>
      </c>
      <c r="D1566" s="5">
        <f t="shared" si="101"/>
        <v>1.25</v>
      </c>
      <c r="E1566" s="5">
        <f t="shared" si="102"/>
        <v>1.43</v>
      </c>
      <c r="F1566" s="5"/>
      <c r="G1566" s="4">
        <f t="shared" si="100"/>
        <v>7.1499999999999995</v>
      </c>
      <c r="H1566" s="1" t="s">
        <v>10</v>
      </c>
      <c r="I1566" s="9"/>
      <c r="J1566" s="4"/>
    </row>
    <row r="1567" spans="1:10">
      <c r="A1567" s="13"/>
      <c r="B1567" s="1"/>
      <c r="C1567" s="1">
        <f t="shared" si="101"/>
        <v>4</v>
      </c>
      <c r="D1567" s="5">
        <f t="shared" si="101"/>
        <v>3.75</v>
      </c>
      <c r="E1567" s="5">
        <f t="shared" si="102"/>
        <v>1.43</v>
      </c>
      <c r="F1567" s="5"/>
      <c r="G1567" s="4">
        <f t="shared" si="100"/>
        <v>21.45</v>
      </c>
      <c r="H1567" s="1" t="s">
        <v>10</v>
      </c>
      <c r="I1567" s="9"/>
      <c r="J1567" s="4"/>
    </row>
    <row r="1568" spans="1:10">
      <c r="A1568" s="13"/>
      <c r="B1568" s="1"/>
      <c r="C1568" s="1"/>
      <c r="D1568" s="5"/>
      <c r="E1568" s="5"/>
      <c r="F1568" s="5"/>
      <c r="G1568" s="4"/>
      <c r="H1568" s="1"/>
      <c r="I1568" s="9"/>
      <c r="J1568" s="4"/>
    </row>
    <row r="1569" spans="1:10">
      <c r="A1569" s="13"/>
      <c r="B1569" s="9"/>
      <c r="C1569" s="1"/>
      <c r="D1569" s="5"/>
      <c r="E1569" s="5"/>
      <c r="F1569" s="34" t="s">
        <v>11</v>
      </c>
      <c r="G1569" s="53">
        <f>SUM(G1515:G1568)</f>
        <v>1085.7642999999998</v>
      </c>
      <c r="H1569" s="50" t="s">
        <v>17</v>
      </c>
      <c r="I1569" s="9"/>
      <c r="J1569" s="4"/>
    </row>
    <row r="1570" spans="1:10">
      <c r="A1570" s="13"/>
      <c r="B1570" s="9"/>
      <c r="C1570" s="1"/>
      <c r="D1570" s="1"/>
      <c r="E1570" s="1"/>
      <c r="F1570" s="56" t="s">
        <v>13</v>
      </c>
      <c r="G1570" s="27">
        <f>ROUNDUP(G1569,0)</f>
        <v>1086</v>
      </c>
      <c r="H1570" s="28" t="s">
        <v>17</v>
      </c>
      <c r="I1570" s="9"/>
      <c r="J1570" s="4"/>
    </row>
    <row r="1571" spans="1:10">
      <c r="A1571" s="13"/>
      <c r="B1571" s="9"/>
      <c r="C1571" s="1"/>
      <c r="D1571" s="1"/>
      <c r="E1571" s="1"/>
      <c r="F1571" s="1"/>
      <c r="G1571" s="33"/>
      <c r="H1571" s="24"/>
      <c r="I1571" s="9"/>
      <c r="J1571" s="4"/>
    </row>
    <row r="1572" spans="1:10">
      <c r="A1572" s="13"/>
      <c r="B1572" s="15" t="s">
        <v>57</v>
      </c>
      <c r="C1572" s="31"/>
      <c r="D1572" s="31"/>
      <c r="E1572" s="31"/>
      <c r="F1572" s="31"/>
      <c r="H1572" s="31"/>
      <c r="I1572" s="9"/>
      <c r="J1572" s="4"/>
    </row>
    <row r="1573" spans="1:10">
      <c r="A1573" s="13"/>
      <c r="B1573" s="46" t="s">
        <v>509</v>
      </c>
      <c r="C1573" s="1">
        <v>1</v>
      </c>
      <c r="D1573" s="5">
        <v>7.8550000000000004</v>
      </c>
      <c r="E1573" s="5">
        <v>4.8849999999999998</v>
      </c>
      <c r="F1573" s="5"/>
      <c r="G1573" s="4">
        <f>C1573*D1573*E1573</f>
        <v>38.371675000000003</v>
      </c>
      <c r="H1573" s="1" t="s">
        <v>17</v>
      </c>
      <c r="I1573" s="9"/>
      <c r="J1573" s="4"/>
    </row>
    <row r="1574" spans="1:10">
      <c r="A1574" s="13"/>
      <c r="B1574" s="74" t="s">
        <v>31</v>
      </c>
      <c r="C1574" s="1">
        <v>1</v>
      </c>
      <c r="D1574" s="5">
        <v>4.7699999999999996</v>
      </c>
      <c r="E1574" s="5">
        <v>4.7699999999999996</v>
      </c>
      <c r="F1574" s="5"/>
      <c r="G1574" s="4">
        <f t="shared" ref="G1574:G1601" si="103">C1574*D1574*E1574</f>
        <v>22.752899999999997</v>
      </c>
      <c r="H1574" s="1" t="s">
        <v>10</v>
      </c>
      <c r="I1574" s="9"/>
      <c r="J1574" s="4"/>
    </row>
    <row r="1575" spans="1:10">
      <c r="A1575" s="13"/>
      <c r="B1575" s="74"/>
      <c r="C1575" s="1">
        <v>1</v>
      </c>
      <c r="D1575" s="5">
        <v>4.8849999999999998</v>
      </c>
      <c r="E1575" s="5">
        <v>4.17</v>
      </c>
      <c r="F1575" s="5"/>
      <c r="G1575" s="4">
        <f t="shared" si="103"/>
        <v>20.370449999999998</v>
      </c>
      <c r="H1575" s="1" t="s">
        <v>10</v>
      </c>
      <c r="I1575" s="9"/>
      <c r="J1575" s="4"/>
    </row>
    <row r="1576" spans="1:10">
      <c r="A1576" s="13"/>
      <c r="B1576" s="74" t="s">
        <v>509</v>
      </c>
      <c r="C1576" s="1">
        <v>1</v>
      </c>
      <c r="D1576" s="5">
        <v>7.8550000000000004</v>
      </c>
      <c r="E1576" s="5">
        <v>4.8849999999999998</v>
      </c>
      <c r="F1576" s="5"/>
      <c r="G1576" s="4">
        <f t="shared" si="103"/>
        <v>38.371675000000003</v>
      </c>
      <c r="H1576" s="1" t="s">
        <v>10</v>
      </c>
      <c r="I1576" s="9"/>
      <c r="J1576" s="4"/>
    </row>
    <row r="1577" spans="1:10">
      <c r="A1577" s="13"/>
      <c r="B1577" s="74"/>
      <c r="C1577" s="1">
        <v>1</v>
      </c>
      <c r="D1577" s="5">
        <v>1.8</v>
      </c>
      <c r="E1577" s="5">
        <v>4.7699999999999996</v>
      </c>
      <c r="F1577" s="5"/>
      <c r="G1577" s="4">
        <f t="shared" si="103"/>
        <v>8.5860000000000003</v>
      </c>
      <c r="H1577" s="1" t="s">
        <v>10</v>
      </c>
      <c r="I1577" s="9"/>
      <c r="J1577" s="4"/>
    </row>
    <row r="1578" spans="1:10">
      <c r="A1578" s="13"/>
      <c r="B1578" s="74" t="s">
        <v>136</v>
      </c>
      <c r="C1578" s="1">
        <v>1</v>
      </c>
      <c r="D1578" s="5">
        <v>4.7699999999999996</v>
      </c>
      <c r="E1578" s="5">
        <v>4.63</v>
      </c>
      <c r="F1578" s="5"/>
      <c r="G1578" s="4">
        <f t="shared" si="103"/>
        <v>22.085099999999997</v>
      </c>
      <c r="H1578" s="1" t="s">
        <v>10</v>
      </c>
      <c r="I1578" s="9"/>
      <c r="J1578" s="4"/>
    </row>
    <row r="1579" spans="1:10">
      <c r="A1579" s="13"/>
      <c r="B1579" s="74" t="s">
        <v>501</v>
      </c>
      <c r="C1579" s="1">
        <v>1</v>
      </c>
      <c r="D1579" s="5">
        <v>3.1549999999999998</v>
      </c>
      <c r="E1579" s="5">
        <v>5.23</v>
      </c>
      <c r="F1579" s="5"/>
      <c r="G1579" s="4">
        <f t="shared" si="103"/>
        <v>16.50065</v>
      </c>
      <c r="H1579" s="1" t="s">
        <v>10</v>
      </c>
      <c r="I1579" s="9"/>
      <c r="J1579" s="4"/>
    </row>
    <row r="1580" spans="1:10">
      <c r="A1580" s="13"/>
      <c r="B1580" s="74" t="s">
        <v>510</v>
      </c>
      <c r="C1580" s="1">
        <v>1</v>
      </c>
      <c r="D1580" s="5">
        <v>1.5780000000000001</v>
      </c>
      <c r="E1580" s="5">
        <v>2.5</v>
      </c>
      <c r="F1580" s="5"/>
      <c r="G1580" s="4">
        <f t="shared" si="103"/>
        <v>3.9450000000000003</v>
      </c>
      <c r="H1580" s="1" t="s">
        <v>10</v>
      </c>
      <c r="I1580" s="9"/>
      <c r="J1580" s="4"/>
    </row>
    <row r="1581" spans="1:10">
      <c r="A1581" s="13"/>
      <c r="B1581" s="74" t="s">
        <v>502</v>
      </c>
      <c r="C1581" s="1">
        <v>1</v>
      </c>
      <c r="D1581" s="5">
        <v>1.5</v>
      </c>
      <c r="E1581" s="5">
        <v>1.41</v>
      </c>
      <c r="F1581" s="5"/>
      <c r="G1581" s="4">
        <f t="shared" si="103"/>
        <v>2.1149999999999998</v>
      </c>
      <c r="H1581" s="1" t="s">
        <v>10</v>
      </c>
      <c r="I1581" s="9"/>
      <c r="J1581" s="4"/>
    </row>
    <row r="1582" spans="1:10">
      <c r="A1582" s="13"/>
      <c r="B1582" s="46" t="s">
        <v>503</v>
      </c>
      <c r="C1582" s="1">
        <v>1</v>
      </c>
      <c r="D1582" s="5">
        <v>4.8849999999999998</v>
      </c>
      <c r="E1582" s="5">
        <v>4.2149999999999999</v>
      </c>
      <c r="F1582" s="5"/>
      <c r="G1582" s="4">
        <f t="shared" si="103"/>
        <v>20.590274999999998</v>
      </c>
      <c r="H1582" s="1" t="s">
        <v>10</v>
      </c>
      <c r="I1582" s="9"/>
      <c r="J1582" s="4"/>
    </row>
    <row r="1583" spans="1:10">
      <c r="A1583" s="13"/>
      <c r="B1583" s="46"/>
      <c r="C1583" s="1">
        <v>1</v>
      </c>
      <c r="D1583" s="5">
        <v>2.29</v>
      </c>
      <c r="E1583" s="5">
        <v>2.5150000000000001</v>
      </c>
      <c r="F1583" s="5"/>
      <c r="G1583" s="4">
        <f t="shared" si="103"/>
        <v>5.7593500000000004</v>
      </c>
      <c r="H1583" s="1" t="s">
        <v>10</v>
      </c>
      <c r="I1583" s="9"/>
      <c r="J1583" s="4"/>
    </row>
    <row r="1584" spans="1:10">
      <c r="A1584" s="13"/>
      <c r="B1584" s="46" t="s">
        <v>504</v>
      </c>
      <c r="C1584" s="1">
        <v>1</v>
      </c>
      <c r="D1584" s="5">
        <v>2.48</v>
      </c>
      <c r="E1584" s="5">
        <v>1.35</v>
      </c>
      <c r="F1584" s="5"/>
      <c r="G1584" s="4">
        <f t="shared" si="103"/>
        <v>3.3480000000000003</v>
      </c>
      <c r="H1584" s="1" t="s">
        <v>10</v>
      </c>
      <c r="I1584" s="9"/>
      <c r="J1584" s="4"/>
    </row>
    <row r="1585" spans="1:10">
      <c r="A1585" s="13"/>
      <c r="B1585" s="46" t="s">
        <v>505</v>
      </c>
      <c r="C1585" s="1">
        <v>1</v>
      </c>
      <c r="D1585" s="5">
        <v>1.5</v>
      </c>
      <c r="E1585" s="5">
        <v>1.05</v>
      </c>
      <c r="F1585" s="5"/>
      <c r="G1585" s="4">
        <f t="shared" si="103"/>
        <v>1.5750000000000002</v>
      </c>
      <c r="H1585" s="1" t="s">
        <v>10</v>
      </c>
      <c r="I1585" s="9"/>
      <c r="J1585" s="4"/>
    </row>
    <row r="1586" spans="1:10">
      <c r="A1586" s="13"/>
      <c r="B1586" s="1"/>
      <c r="C1586" s="1">
        <v>1</v>
      </c>
      <c r="D1586" s="5">
        <v>1.05</v>
      </c>
      <c r="E1586" s="5">
        <v>0.98</v>
      </c>
      <c r="F1586" s="5"/>
      <c r="G1586" s="4">
        <f t="shared" si="103"/>
        <v>1.0289999999999999</v>
      </c>
      <c r="H1586" s="1" t="s">
        <v>10</v>
      </c>
      <c r="I1586" s="9"/>
      <c r="J1586" s="4"/>
    </row>
    <row r="1587" spans="1:10">
      <c r="A1587" s="13"/>
      <c r="B1587" s="46" t="s">
        <v>511</v>
      </c>
      <c r="C1587" s="1">
        <v>1</v>
      </c>
      <c r="D1587" s="5">
        <v>9.75</v>
      </c>
      <c r="E1587" s="5">
        <v>1.2749999999999999</v>
      </c>
      <c r="F1587" s="5"/>
      <c r="G1587" s="4">
        <f t="shared" si="103"/>
        <v>12.431249999999999</v>
      </c>
      <c r="H1587" s="1" t="s">
        <v>10</v>
      </c>
      <c r="I1587" s="9"/>
      <c r="J1587" s="4"/>
    </row>
    <row r="1588" spans="1:10">
      <c r="A1588" s="13"/>
      <c r="B1588" s="46" t="s">
        <v>462</v>
      </c>
      <c r="C1588" s="1">
        <v>1</v>
      </c>
      <c r="D1588" s="5">
        <v>6.5049999999999999</v>
      </c>
      <c r="E1588" s="5">
        <v>3.36</v>
      </c>
      <c r="F1588" s="5"/>
      <c r="G1588" s="4">
        <f t="shared" si="103"/>
        <v>21.8568</v>
      </c>
      <c r="H1588" s="1" t="s">
        <v>10</v>
      </c>
      <c r="I1588" s="9"/>
      <c r="J1588" s="4"/>
    </row>
    <row r="1589" spans="1:10">
      <c r="A1589" s="13"/>
      <c r="B1589" s="46" t="s">
        <v>58</v>
      </c>
      <c r="C1589" s="1">
        <f t="shared" ref="C1589:D1601" si="104">C294</f>
        <v>3</v>
      </c>
      <c r="D1589" s="5">
        <f t="shared" si="104"/>
        <v>2.5</v>
      </c>
      <c r="E1589" s="5">
        <f t="shared" ref="E1589:E1601" si="105">E294+F294+F294</f>
        <v>1.43</v>
      </c>
      <c r="F1589" s="5"/>
      <c r="G1589" s="4">
        <f t="shared" si="103"/>
        <v>10.725</v>
      </c>
      <c r="H1589" s="1" t="s">
        <v>10</v>
      </c>
      <c r="I1589" s="9"/>
      <c r="J1589" s="4"/>
    </row>
    <row r="1590" spans="1:10">
      <c r="A1590" s="13"/>
      <c r="B1590" s="46"/>
      <c r="C1590" s="1">
        <f t="shared" si="104"/>
        <v>3</v>
      </c>
      <c r="D1590" s="5">
        <f t="shared" si="104"/>
        <v>2.5</v>
      </c>
      <c r="E1590" s="5">
        <f t="shared" si="105"/>
        <v>1.43</v>
      </c>
      <c r="F1590" s="5"/>
      <c r="G1590" s="4">
        <f t="shared" si="103"/>
        <v>10.725</v>
      </c>
      <c r="H1590" s="1" t="s">
        <v>10</v>
      </c>
      <c r="I1590" s="9"/>
      <c r="J1590" s="4"/>
    </row>
    <row r="1591" spans="1:10">
      <c r="A1591" s="13"/>
      <c r="B1591" s="46"/>
      <c r="C1591" s="1">
        <f t="shared" si="104"/>
        <v>5</v>
      </c>
      <c r="D1591" s="5">
        <f t="shared" si="104"/>
        <v>5</v>
      </c>
      <c r="E1591" s="5">
        <f t="shared" si="105"/>
        <v>1.43</v>
      </c>
      <c r="F1591" s="5"/>
      <c r="G1591" s="4">
        <f t="shared" si="103"/>
        <v>35.75</v>
      </c>
      <c r="H1591" s="1" t="s">
        <v>10</v>
      </c>
      <c r="I1591" s="9"/>
      <c r="J1591" s="4"/>
    </row>
    <row r="1592" spans="1:10">
      <c r="A1592" s="13"/>
      <c r="B1592" s="46"/>
      <c r="C1592" s="1">
        <f t="shared" si="104"/>
        <v>5</v>
      </c>
      <c r="D1592" s="5">
        <f t="shared" si="104"/>
        <v>5</v>
      </c>
      <c r="E1592" s="5">
        <f t="shared" si="105"/>
        <v>1.43</v>
      </c>
      <c r="F1592" s="5"/>
      <c r="G1592" s="4">
        <f t="shared" si="103"/>
        <v>35.75</v>
      </c>
      <c r="H1592" s="1" t="s">
        <v>10</v>
      </c>
      <c r="I1592" s="9"/>
      <c r="J1592" s="4"/>
    </row>
    <row r="1593" spans="1:10">
      <c r="A1593" s="13"/>
      <c r="B1593" s="46"/>
      <c r="C1593" s="1">
        <f t="shared" si="104"/>
        <v>3</v>
      </c>
      <c r="D1593" s="5">
        <f t="shared" si="104"/>
        <v>1.2749999999999999</v>
      </c>
      <c r="E1593" s="5">
        <f t="shared" si="105"/>
        <v>1.43</v>
      </c>
      <c r="F1593" s="5"/>
      <c r="G1593" s="4">
        <f t="shared" si="103"/>
        <v>5.4697499999999994</v>
      </c>
      <c r="H1593" s="1" t="s">
        <v>10</v>
      </c>
      <c r="I1593" s="9"/>
      <c r="J1593" s="4"/>
    </row>
    <row r="1594" spans="1:10">
      <c r="A1594" s="13"/>
      <c r="B1594" s="46"/>
      <c r="C1594" s="1">
        <f t="shared" si="104"/>
        <v>3</v>
      </c>
      <c r="D1594" s="5">
        <f t="shared" si="104"/>
        <v>1.2</v>
      </c>
      <c r="E1594" s="5">
        <f t="shared" si="105"/>
        <v>1.1300000000000001</v>
      </c>
      <c r="F1594" s="5"/>
      <c r="G1594" s="4">
        <f t="shared" si="103"/>
        <v>4.0679999999999996</v>
      </c>
      <c r="H1594" s="1" t="s">
        <v>10</v>
      </c>
      <c r="I1594" s="9"/>
      <c r="J1594" s="4"/>
    </row>
    <row r="1595" spans="1:10">
      <c r="A1595" s="13"/>
      <c r="B1595" s="46"/>
      <c r="C1595" s="1">
        <f t="shared" si="104"/>
        <v>3</v>
      </c>
      <c r="D1595" s="5">
        <f t="shared" si="104"/>
        <v>4.5</v>
      </c>
      <c r="E1595" s="5">
        <f t="shared" si="105"/>
        <v>1.43</v>
      </c>
      <c r="F1595" s="5"/>
      <c r="G1595" s="4">
        <f t="shared" si="103"/>
        <v>19.305</v>
      </c>
      <c r="H1595" s="1" t="s">
        <v>10</v>
      </c>
      <c r="I1595" s="9"/>
      <c r="J1595" s="4"/>
    </row>
    <row r="1596" spans="1:10">
      <c r="A1596" s="13"/>
      <c r="B1596" s="46"/>
      <c r="C1596" s="1">
        <f t="shared" si="104"/>
        <v>3</v>
      </c>
      <c r="D1596" s="5">
        <f t="shared" si="104"/>
        <v>4.5</v>
      </c>
      <c r="E1596" s="5">
        <f t="shared" si="105"/>
        <v>1.43</v>
      </c>
      <c r="F1596" s="5"/>
      <c r="G1596" s="4">
        <f t="shared" si="103"/>
        <v>19.305</v>
      </c>
      <c r="H1596" s="1" t="s">
        <v>10</v>
      </c>
      <c r="I1596" s="9"/>
      <c r="J1596" s="4"/>
    </row>
    <row r="1597" spans="1:10">
      <c r="A1597" s="13"/>
      <c r="B1597" s="46"/>
      <c r="C1597" s="1">
        <f t="shared" si="104"/>
        <v>4</v>
      </c>
      <c r="D1597" s="5">
        <f t="shared" si="104"/>
        <v>2.5</v>
      </c>
      <c r="E1597" s="5">
        <f t="shared" si="105"/>
        <v>1.43</v>
      </c>
      <c r="F1597" s="5"/>
      <c r="G1597" s="4">
        <f t="shared" si="103"/>
        <v>14.299999999999999</v>
      </c>
      <c r="H1597" s="1" t="s">
        <v>10</v>
      </c>
      <c r="I1597" s="9"/>
      <c r="J1597" s="4"/>
    </row>
    <row r="1598" spans="1:10">
      <c r="A1598" s="13"/>
      <c r="B1598" s="46"/>
      <c r="C1598" s="1">
        <f t="shared" si="104"/>
        <v>4</v>
      </c>
      <c r="D1598" s="5">
        <f t="shared" si="104"/>
        <v>2.5</v>
      </c>
      <c r="E1598" s="5">
        <f t="shared" si="105"/>
        <v>1.43</v>
      </c>
      <c r="F1598" s="5"/>
      <c r="G1598" s="4">
        <f t="shared" si="103"/>
        <v>14.299999999999999</v>
      </c>
      <c r="H1598" s="1" t="s">
        <v>10</v>
      </c>
      <c r="I1598" s="9"/>
      <c r="J1598" s="4"/>
    </row>
    <row r="1599" spans="1:10">
      <c r="A1599" s="13"/>
      <c r="B1599" s="46"/>
      <c r="C1599" s="1">
        <f t="shared" si="104"/>
        <v>4</v>
      </c>
      <c r="D1599" s="5">
        <f t="shared" si="104"/>
        <v>1.25</v>
      </c>
      <c r="E1599" s="5">
        <f t="shared" si="105"/>
        <v>1.43</v>
      </c>
      <c r="F1599" s="5"/>
      <c r="G1599" s="4">
        <f t="shared" si="103"/>
        <v>7.1499999999999995</v>
      </c>
      <c r="H1599" s="1" t="s">
        <v>10</v>
      </c>
      <c r="I1599" s="9"/>
      <c r="J1599" s="4"/>
    </row>
    <row r="1600" spans="1:10">
      <c r="A1600" s="13"/>
      <c r="B1600" s="46"/>
      <c r="C1600" s="1">
        <f t="shared" si="104"/>
        <v>4</v>
      </c>
      <c r="D1600" s="5">
        <f t="shared" si="104"/>
        <v>3.75</v>
      </c>
      <c r="E1600" s="5">
        <f t="shared" si="105"/>
        <v>1.43</v>
      </c>
      <c r="F1600" s="5"/>
      <c r="G1600" s="4">
        <f t="shared" si="103"/>
        <v>21.45</v>
      </c>
      <c r="H1600" s="1" t="s">
        <v>10</v>
      </c>
      <c r="I1600" s="9"/>
      <c r="J1600" s="4"/>
    </row>
    <row r="1601" spans="1:16">
      <c r="A1601" s="13"/>
      <c r="B1601" s="46"/>
      <c r="C1601" s="1">
        <f t="shared" si="104"/>
        <v>1</v>
      </c>
      <c r="D1601" s="5">
        <f t="shared" si="104"/>
        <v>42</v>
      </c>
      <c r="E1601" s="5">
        <f t="shared" si="105"/>
        <v>1.35</v>
      </c>
      <c r="F1601" s="5"/>
      <c r="G1601" s="4">
        <f t="shared" si="103"/>
        <v>56.7</v>
      </c>
      <c r="H1601" s="1" t="s">
        <v>10</v>
      </c>
      <c r="I1601" s="9"/>
      <c r="J1601" s="4"/>
    </row>
    <row r="1602" spans="1:16">
      <c r="A1602" s="13"/>
      <c r="B1602" s="46"/>
      <c r="C1602" s="1"/>
      <c r="D1602" s="5"/>
      <c r="E1602" s="5"/>
      <c r="F1602" s="5"/>
      <c r="G1602" s="4"/>
      <c r="H1602" s="1"/>
      <c r="I1602" s="9"/>
      <c r="J1602" s="4"/>
    </row>
    <row r="1603" spans="1:16">
      <c r="A1603" s="13"/>
      <c r="B1603" s="9"/>
      <c r="C1603" s="1"/>
      <c r="D1603" s="5"/>
      <c r="E1603" s="5"/>
      <c r="F1603" s="34" t="s">
        <v>11</v>
      </c>
      <c r="G1603" s="53">
        <f>SUM(G1573:G1602)</f>
        <v>494.68587499999995</v>
      </c>
      <c r="H1603" s="50" t="s">
        <v>17</v>
      </c>
      <c r="I1603" s="9"/>
      <c r="J1603" s="4"/>
    </row>
    <row r="1604" spans="1:16">
      <c r="A1604" s="13"/>
      <c r="B1604" s="9"/>
      <c r="C1604" s="1"/>
      <c r="D1604" s="1"/>
      <c r="E1604" s="1"/>
      <c r="F1604" s="56" t="s">
        <v>13</v>
      </c>
      <c r="G1604" s="27">
        <f>ROUNDUP(G1603,0)</f>
        <v>495</v>
      </c>
      <c r="H1604" s="28" t="s">
        <v>17</v>
      </c>
      <c r="I1604" s="9"/>
      <c r="J1604" s="4"/>
    </row>
    <row r="1605" spans="1:16">
      <c r="A1605" s="79"/>
      <c r="C1605" s="1"/>
      <c r="D1605" s="1"/>
      <c r="E1605" s="1"/>
      <c r="F1605" s="1"/>
      <c r="G1605" s="33"/>
      <c r="H1605" s="24"/>
      <c r="I1605" s="9"/>
      <c r="J1605" s="4"/>
    </row>
    <row r="1606" spans="1:16">
      <c r="A1606" s="18">
        <f>A1451+1</f>
        <v>49</v>
      </c>
      <c r="B1606" s="9" t="s">
        <v>43</v>
      </c>
      <c r="I1606" s="9"/>
      <c r="J1606" s="4"/>
      <c r="K1606" s="31"/>
    </row>
    <row r="1607" spans="1:16">
      <c r="A1607" s="18"/>
      <c r="B1607" s="15" t="s">
        <v>56</v>
      </c>
      <c r="I1607" s="9"/>
      <c r="J1607" s="4"/>
      <c r="K1607" s="31"/>
    </row>
    <row r="1608" spans="1:16">
      <c r="A1608" s="18"/>
      <c r="B1608" s="46" t="s">
        <v>512</v>
      </c>
      <c r="C1608" s="1">
        <v>1</v>
      </c>
      <c r="D1608" s="5">
        <f>(25.77+9.77)*2</f>
        <v>71.08</v>
      </c>
      <c r="E1608" s="1"/>
      <c r="F1608" s="5">
        <v>6.35</v>
      </c>
      <c r="G1608" s="4">
        <f>C1608*D1608*F1608</f>
        <v>451.35799999999995</v>
      </c>
      <c r="H1608" s="1" t="s">
        <v>17</v>
      </c>
      <c r="I1608" s="9"/>
      <c r="J1608" s="4"/>
      <c r="K1608" s="31"/>
    </row>
    <row r="1609" spans="1:16">
      <c r="A1609" s="13"/>
      <c r="B1609" s="46" t="s">
        <v>513</v>
      </c>
      <c r="C1609" s="1">
        <v>1</v>
      </c>
      <c r="D1609" s="5">
        <f>(3.235+4.27)*2</f>
        <v>15.009999999999998</v>
      </c>
      <c r="E1609" s="1"/>
      <c r="F1609" s="5">
        <v>5.05</v>
      </c>
      <c r="G1609" s="4">
        <f t="shared" ref="G1609:G1645" si="106">C1609*D1609*F1609</f>
        <v>75.800499999999985</v>
      </c>
      <c r="H1609" s="1" t="s">
        <v>10</v>
      </c>
      <c r="I1609" s="9"/>
      <c r="J1609" s="4"/>
      <c r="K1609" s="46"/>
      <c r="L1609" s="1"/>
      <c r="M1609" s="5"/>
      <c r="N1609" s="5"/>
      <c r="O1609" s="5"/>
      <c r="P1609" s="4"/>
    </row>
    <row r="1610" spans="1:16">
      <c r="A1610" s="13"/>
      <c r="B1610" s="46"/>
      <c r="C1610" s="1">
        <v>1</v>
      </c>
      <c r="D1610" s="5">
        <f>4.5+1.505+4.5</f>
        <v>10.504999999999999</v>
      </c>
      <c r="E1610" s="1"/>
      <c r="F1610" s="5">
        <v>3.9</v>
      </c>
      <c r="G1610" s="4">
        <f t="shared" si="106"/>
        <v>40.969499999999996</v>
      </c>
      <c r="H1610" s="1" t="s">
        <v>10</v>
      </c>
      <c r="I1610" s="9"/>
      <c r="J1610" s="4"/>
      <c r="K1610" s="46"/>
      <c r="L1610" s="1"/>
      <c r="M1610" s="5"/>
      <c r="N1610" s="5"/>
      <c r="O1610" s="5"/>
      <c r="P1610" s="4"/>
    </row>
    <row r="1611" spans="1:16">
      <c r="A1611" s="13"/>
      <c r="B1611" s="46" t="s">
        <v>116</v>
      </c>
      <c r="C1611" s="1">
        <v>1</v>
      </c>
      <c r="D1611" s="5">
        <f>(2.45+4.27)*2</f>
        <v>13.44</v>
      </c>
      <c r="E1611" s="1"/>
      <c r="F1611" s="5">
        <v>3.9</v>
      </c>
      <c r="G1611" s="4">
        <f t="shared" si="106"/>
        <v>52.415999999999997</v>
      </c>
      <c r="H1611" s="1" t="s">
        <v>10</v>
      </c>
      <c r="I1611" s="9"/>
      <c r="J1611" s="4"/>
      <c r="K1611" s="46"/>
      <c r="L1611" s="1"/>
      <c r="M1611" s="5"/>
      <c r="N1611" s="5"/>
      <c r="O1611" s="5"/>
      <c r="P1611" s="4"/>
    </row>
    <row r="1612" spans="1:16">
      <c r="A1612" s="13"/>
      <c r="B1612" s="46" t="s">
        <v>514</v>
      </c>
      <c r="C1612" s="1">
        <v>1</v>
      </c>
      <c r="D1612" s="5">
        <f>(7.605+4.27)*2</f>
        <v>23.75</v>
      </c>
      <c r="E1612" s="1"/>
      <c r="F1612" s="5">
        <v>3.9</v>
      </c>
      <c r="G1612" s="4">
        <f t="shared" si="106"/>
        <v>92.625</v>
      </c>
      <c r="H1612" s="1" t="s">
        <v>10</v>
      </c>
      <c r="I1612" s="9"/>
      <c r="J1612" s="4"/>
      <c r="K1612" s="46"/>
      <c r="L1612" s="1"/>
      <c r="M1612" s="5"/>
      <c r="N1612" s="5"/>
      <c r="O1612" s="5"/>
      <c r="P1612" s="4"/>
    </row>
    <row r="1613" spans="1:16">
      <c r="A1613" s="13"/>
      <c r="B1613" s="46" t="s">
        <v>475</v>
      </c>
      <c r="C1613" s="1">
        <v>1</v>
      </c>
      <c r="D1613" s="5">
        <f>2.77+2.575+2.77</f>
        <v>8.1150000000000002</v>
      </c>
      <c r="E1613" s="1"/>
      <c r="F1613" s="5">
        <v>5.05</v>
      </c>
      <c r="G1613" s="4">
        <f t="shared" si="106"/>
        <v>40.98075</v>
      </c>
      <c r="H1613" s="1" t="s">
        <v>10</v>
      </c>
      <c r="I1613" s="9"/>
      <c r="J1613" s="4"/>
      <c r="K1613" s="46"/>
      <c r="L1613" s="1"/>
      <c r="M1613" s="5"/>
      <c r="N1613" s="5"/>
      <c r="O1613" s="5"/>
      <c r="P1613" s="4"/>
    </row>
    <row r="1614" spans="1:16">
      <c r="A1614" s="13"/>
      <c r="B1614" s="46" t="s">
        <v>515</v>
      </c>
      <c r="C1614" s="1">
        <v>1</v>
      </c>
      <c r="D1614" s="5">
        <f>2*(4.97+4.27)</f>
        <v>18.479999999999997</v>
      </c>
      <c r="E1614" s="1"/>
      <c r="F1614" s="5">
        <v>3.85</v>
      </c>
      <c r="G1614" s="4">
        <f t="shared" si="106"/>
        <v>71.147999999999996</v>
      </c>
      <c r="H1614" s="1" t="s">
        <v>10</v>
      </c>
      <c r="I1614" s="9"/>
      <c r="J1614" s="4"/>
      <c r="K1614" s="46"/>
      <c r="L1614" s="1"/>
      <c r="M1614" s="5"/>
      <c r="N1614" s="5"/>
      <c r="O1614" s="5"/>
      <c r="P1614" s="4"/>
    </row>
    <row r="1615" spans="1:16">
      <c r="A1615" s="13"/>
      <c r="B1615" s="46" t="s">
        <v>516</v>
      </c>
      <c r="C1615" s="1">
        <v>1</v>
      </c>
      <c r="D1615" s="5">
        <f>(4.27+4.895)*2</f>
        <v>18.329999999999998</v>
      </c>
      <c r="E1615" s="1"/>
      <c r="F1615" s="5">
        <v>3.9</v>
      </c>
      <c r="G1615" s="4">
        <f t="shared" si="106"/>
        <v>71.486999999999995</v>
      </c>
      <c r="H1615" s="1" t="s">
        <v>10</v>
      </c>
      <c r="I1615" s="9"/>
      <c r="J1615" s="4"/>
      <c r="K1615" s="46"/>
      <c r="L1615" s="1"/>
      <c r="M1615" s="5"/>
      <c r="N1615" s="5"/>
      <c r="O1615" s="5"/>
      <c r="P1615" s="4"/>
    </row>
    <row r="1616" spans="1:16">
      <c r="A1616" s="13"/>
      <c r="B1616" s="46" t="s">
        <v>517</v>
      </c>
      <c r="C1616" s="1">
        <v>1</v>
      </c>
      <c r="D1616" s="5">
        <f>2.45+1.46+2.45+1.46</f>
        <v>7.82</v>
      </c>
      <c r="E1616" s="1"/>
      <c r="F1616" s="5">
        <v>3.9</v>
      </c>
      <c r="G1616" s="4">
        <f t="shared" si="106"/>
        <v>30.498000000000001</v>
      </c>
      <c r="H1616" s="1" t="s">
        <v>10</v>
      </c>
      <c r="I1616" s="9"/>
      <c r="J1616" s="4"/>
      <c r="K1616" s="46"/>
      <c r="L1616" s="1"/>
      <c r="M1616" s="5"/>
      <c r="N1616" s="5"/>
      <c r="O1616" s="5"/>
      <c r="P1616" s="4"/>
    </row>
    <row r="1617" spans="1:16">
      <c r="A1617" s="13"/>
      <c r="B1617" s="46" t="s">
        <v>115</v>
      </c>
      <c r="C1617" s="1">
        <v>1</v>
      </c>
      <c r="D1617" s="5">
        <f>2*(2.97+4.27)</f>
        <v>14.48</v>
      </c>
      <c r="E1617" s="1"/>
      <c r="F1617" s="5">
        <v>3.9</v>
      </c>
      <c r="G1617" s="4">
        <f t="shared" si="106"/>
        <v>56.472000000000001</v>
      </c>
      <c r="H1617" s="1" t="s">
        <v>10</v>
      </c>
      <c r="I1617" s="9"/>
      <c r="J1617" s="4"/>
      <c r="K1617" s="46"/>
      <c r="L1617" s="1"/>
      <c r="M1617" s="5"/>
      <c r="N1617" s="5"/>
      <c r="O1617" s="5"/>
      <c r="P1617" s="4"/>
    </row>
    <row r="1618" spans="1:16">
      <c r="A1618" s="13"/>
      <c r="B1618" s="46"/>
      <c r="C1618" s="1">
        <v>1</v>
      </c>
      <c r="D1618" s="5">
        <f>(4.27+1.885)*2</f>
        <v>12.309999999999999</v>
      </c>
      <c r="E1618" s="1"/>
      <c r="F1618" s="5">
        <v>3.9</v>
      </c>
      <c r="G1618" s="4">
        <f t="shared" si="106"/>
        <v>48.008999999999993</v>
      </c>
      <c r="H1618" s="1" t="s">
        <v>10</v>
      </c>
      <c r="I1618" s="9"/>
      <c r="J1618" s="4"/>
      <c r="K1618" s="46"/>
      <c r="L1618" s="1"/>
      <c r="M1618" s="5"/>
      <c r="N1618" s="5"/>
      <c r="O1618" s="5"/>
      <c r="P1618" s="4"/>
    </row>
    <row r="1619" spans="1:16">
      <c r="A1619" s="13"/>
      <c r="B1619" s="46" t="s">
        <v>117</v>
      </c>
      <c r="C1619" s="1">
        <v>1</v>
      </c>
      <c r="D1619" s="5">
        <f>2*(2.685+2.145)</f>
        <v>9.66</v>
      </c>
      <c r="E1619" s="1"/>
      <c r="F1619" s="5">
        <v>3.9</v>
      </c>
      <c r="G1619" s="4">
        <f t="shared" si="106"/>
        <v>37.673999999999999</v>
      </c>
      <c r="H1619" s="1" t="s">
        <v>10</v>
      </c>
      <c r="I1619" s="9"/>
      <c r="J1619" s="4"/>
      <c r="K1619" s="46"/>
      <c r="L1619" s="1"/>
      <c r="M1619" s="5"/>
      <c r="N1619" s="5"/>
      <c r="O1619" s="5"/>
      <c r="P1619" s="4"/>
    </row>
    <row r="1620" spans="1:16">
      <c r="A1620" s="13"/>
      <c r="B1620" s="46"/>
      <c r="C1620" s="1">
        <v>1</v>
      </c>
      <c r="D1620" s="5">
        <f>(1.81+2.77)*2</f>
        <v>9.16</v>
      </c>
      <c r="E1620" s="1"/>
      <c r="F1620" s="5">
        <v>3.9</v>
      </c>
      <c r="G1620" s="4">
        <f t="shared" si="106"/>
        <v>35.723999999999997</v>
      </c>
      <c r="H1620" s="1" t="s">
        <v>10</v>
      </c>
      <c r="I1620" s="9"/>
      <c r="J1620" s="4"/>
      <c r="K1620" s="46"/>
      <c r="L1620" s="1"/>
      <c r="M1620" s="5"/>
      <c r="N1620" s="5"/>
      <c r="O1620" s="5"/>
      <c r="P1620" s="4"/>
    </row>
    <row r="1621" spans="1:16">
      <c r="A1621" s="13"/>
      <c r="B1621" s="46" t="s">
        <v>518</v>
      </c>
      <c r="C1621" s="1">
        <v>1</v>
      </c>
      <c r="D1621" s="5">
        <f>(5.12+1.76)*2</f>
        <v>13.76</v>
      </c>
      <c r="E1621" s="1"/>
      <c r="F1621" s="5">
        <v>3.9</v>
      </c>
      <c r="G1621" s="4">
        <f t="shared" si="106"/>
        <v>53.664000000000001</v>
      </c>
      <c r="H1621" s="1" t="s">
        <v>10</v>
      </c>
      <c r="I1621" s="9"/>
      <c r="J1621" s="4"/>
      <c r="K1621" s="46"/>
      <c r="L1621" s="1"/>
      <c r="M1621" s="5"/>
      <c r="N1621" s="5"/>
      <c r="O1621" s="5"/>
      <c r="P1621" s="4"/>
    </row>
    <row r="1622" spans="1:16">
      <c r="A1622" s="13"/>
      <c r="B1622" s="46" t="s">
        <v>519</v>
      </c>
      <c r="C1622" s="1">
        <v>1</v>
      </c>
      <c r="D1622" s="5">
        <f>2*(12.17+8.77)</f>
        <v>41.879999999999995</v>
      </c>
      <c r="E1622" s="1"/>
      <c r="F1622" s="5">
        <v>3.9</v>
      </c>
      <c r="G1622" s="4">
        <f t="shared" si="106"/>
        <v>163.33199999999997</v>
      </c>
      <c r="H1622" s="1" t="s">
        <v>10</v>
      </c>
      <c r="I1622" s="9"/>
      <c r="J1622" s="4"/>
      <c r="K1622" s="46"/>
      <c r="L1622" s="1"/>
      <c r="M1622" s="5"/>
      <c r="N1622" s="5"/>
      <c r="O1622" s="5"/>
      <c r="P1622" s="4"/>
    </row>
    <row r="1623" spans="1:16">
      <c r="A1623" s="13"/>
      <c r="B1623" s="46" t="s">
        <v>466</v>
      </c>
      <c r="C1623" s="1">
        <v>1</v>
      </c>
      <c r="D1623" s="5">
        <f>2*(4.77+8.27)</f>
        <v>26.08</v>
      </c>
      <c r="E1623" s="1"/>
      <c r="F1623" s="5">
        <v>3.9</v>
      </c>
      <c r="G1623" s="4">
        <f t="shared" si="106"/>
        <v>101.71199999999999</v>
      </c>
      <c r="H1623" s="1" t="s">
        <v>10</v>
      </c>
      <c r="I1623" s="9"/>
      <c r="J1623" s="4"/>
      <c r="K1623" s="46"/>
      <c r="L1623" s="1"/>
      <c r="M1623" s="5"/>
      <c r="N1623" s="5"/>
      <c r="O1623" s="5"/>
      <c r="P1623" s="4"/>
    </row>
    <row r="1624" spans="1:16">
      <c r="A1624" s="13"/>
      <c r="B1624" s="46" t="s">
        <v>467</v>
      </c>
      <c r="C1624" s="1">
        <v>1</v>
      </c>
      <c r="D1624" s="5">
        <f>2*(4.77+8.27)</f>
        <v>26.08</v>
      </c>
      <c r="E1624" s="1"/>
      <c r="F1624" s="5">
        <v>3.9</v>
      </c>
      <c r="G1624" s="4">
        <f t="shared" si="106"/>
        <v>101.71199999999999</v>
      </c>
      <c r="H1624" s="1" t="s">
        <v>10</v>
      </c>
      <c r="I1624" s="9"/>
      <c r="J1624" s="4"/>
      <c r="K1624" s="46"/>
      <c r="L1624" s="1"/>
      <c r="M1624" s="5"/>
      <c r="N1624" s="5"/>
      <c r="O1624" s="5"/>
      <c r="P1624" s="4"/>
    </row>
    <row r="1625" spans="1:16">
      <c r="A1625" s="13"/>
      <c r="B1625" s="46" t="s">
        <v>520</v>
      </c>
      <c r="C1625" s="1">
        <v>1</v>
      </c>
      <c r="D1625" s="5">
        <f>5</f>
        <v>5</v>
      </c>
      <c r="E1625" s="1"/>
      <c r="F1625" s="5">
        <v>1.2</v>
      </c>
      <c r="G1625" s="4">
        <f t="shared" si="106"/>
        <v>6</v>
      </c>
      <c r="H1625" s="1" t="s">
        <v>10</v>
      </c>
      <c r="I1625" s="9"/>
      <c r="J1625" s="4"/>
      <c r="K1625" s="46"/>
      <c r="L1625" s="1"/>
      <c r="M1625" s="5"/>
      <c r="N1625" s="5"/>
      <c r="O1625" s="5"/>
      <c r="P1625" s="4"/>
    </row>
    <row r="1626" spans="1:16">
      <c r="A1626" s="13"/>
      <c r="B1626" s="46" t="s">
        <v>469</v>
      </c>
      <c r="C1626" s="1">
        <v>1</v>
      </c>
      <c r="D1626" s="5">
        <f>(4.77+3.52)</f>
        <v>8.2899999999999991</v>
      </c>
      <c r="E1626" s="1"/>
      <c r="F1626" s="5">
        <v>1.2</v>
      </c>
      <c r="G1626" s="4">
        <f t="shared" si="106"/>
        <v>9.9479999999999986</v>
      </c>
      <c r="H1626" s="1" t="s">
        <v>10</v>
      </c>
      <c r="I1626" s="9"/>
      <c r="J1626" s="4"/>
      <c r="K1626" s="46"/>
      <c r="L1626" s="1"/>
      <c r="M1626" s="5"/>
      <c r="N1626" s="5"/>
      <c r="O1626" s="5"/>
      <c r="P1626" s="4"/>
    </row>
    <row r="1627" spans="1:16">
      <c r="A1627" s="13"/>
      <c r="B1627" s="46"/>
      <c r="C1627" s="1">
        <v>1</v>
      </c>
      <c r="D1627" s="5">
        <f>(4.77+3.52)</f>
        <v>8.2899999999999991</v>
      </c>
      <c r="E1627" s="1"/>
      <c r="F1627" s="5">
        <v>3.9</v>
      </c>
      <c r="G1627" s="4">
        <f t="shared" si="106"/>
        <v>32.330999999999996</v>
      </c>
      <c r="H1627" s="1" t="s">
        <v>10</v>
      </c>
      <c r="I1627" s="9"/>
      <c r="J1627" s="4"/>
      <c r="K1627" s="46"/>
      <c r="L1627" s="1"/>
      <c r="M1627" s="5"/>
      <c r="N1627" s="5"/>
      <c r="O1627" s="5"/>
      <c r="P1627" s="4"/>
    </row>
    <row r="1628" spans="1:16">
      <c r="A1628" s="13"/>
      <c r="B1628" s="46" t="s">
        <v>470</v>
      </c>
      <c r="C1628" s="1">
        <v>1</v>
      </c>
      <c r="D1628" s="5">
        <f>(4.77+3.52)*2</f>
        <v>16.579999999999998</v>
      </c>
      <c r="E1628" s="1"/>
      <c r="F1628" s="5">
        <v>3.9</v>
      </c>
      <c r="G1628" s="4">
        <f t="shared" si="106"/>
        <v>64.661999999999992</v>
      </c>
      <c r="H1628" s="1" t="s">
        <v>10</v>
      </c>
      <c r="I1628" s="9"/>
      <c r="J1628" s="4"/>
      <c r="K1628" s="46"/>
      <c r="L1628" s="1"/>
      <c r="M1628" s="5"/>
      <c r="N1628" s="5"/>
      <c r="O1628" s="5"/>
      <c r="P1628" s="4"/>
    </row>
    <row r="1629" spans="1:16">
      <c r="A1629" s="13"/>
      <c r="B1629" s="46" t="s">
        <v>521</v>
      </c>
      <c r="C1629" s="1">
        <v>1</v>
      </c>
      <c r="D1629" s="5">
        <f>(7.27+4.77)*2</f>
        <v>24.08</v>
      </c>
      <c r="E1629" s="1"/>
      <c r="F1629" s="5">
        <v>3.9</v>
      </c>
      <c r="G1629" s="4">
        <f t="shared" si="106"/>
        <v>93.911999999999992</v>
      </c>
      <c r="H1629" s="1" t="s">
        <v>10</v>
      </c>
      <c r="I1629" s="9"/>
      <c r="J1629" s="4"/>
      <c r="K1629" s="46"/>
      <c r="L1629" s="1"/>
      <c r="M1629" s="5"/>
      <c r="N1629" s="5"/>
      <c r="O1629" s="5"/>
      <c r="P1629" s="4"/>
    </row>
    <row r="1630" spans="1:16">
      <c r="A1630" s="13"/>
      <c r="B1630" s="46"/>
      <c r="C1630" s="1">
        <v>1</v>
      </c>
      <c r="D1630" s="5">
        <f>(5*2)</f>
        <v>10</v>
      </c>
      <c r="E1630" s="1"/>
      <c r="F1630" s="5">
        <v>3.9</v>
      </c>
      <c r="G1630" s="4">
        <f t="shared" si="106"/>
        <v>39</v>
      </c>
      <c r="H1630" s="1" t="s">
        <v>10</v>
      </c>
      <c r="I1630" s="9"/>
      <c r="J1630" s="4"/>
      <c r="K1630" s="46"/>
      <c r="L1630" s="1"/>
      <c r="M1630" s="5"/>
      <c r="N1630" s="5"/>
      <c r="O1630" s="5"/>
      <c r="P1630" s="4"/>
    </row>
    <row r="1631" spans="1:16">
      <c r="A1631" s="13"/>
      <c r="B1631" s="46" t="s">
        <v>114</v>
      </c>
      <c r="C1631" s="1">
        <v>1</v>
      </c>
      <c r="D1631" s="5">
        <f>(2.125+2.9)*2</f>
        <v>10.050000000000001</v>
      </c>
      <c r="E1631" s="1"/>
      <c r="F1631" s="5">
        <v>3.9</v>
      </c>
      <c r="G1631" s="4">
        <f t="shared" si="106"/>
        <v>39.195</v>
      </c>
      <c r="H1631" s="1" t="s">
        <v>10</v>
      </c>
      <c r="I1631" s="9"/>
      <c r="J1631" s="4"/>
      <c r="K1631" s="31"/>
    </row>
    <row r="1632" spans="1:16">
      <c r="A1632" s="13"/>
      <c r="B1632" s="46" t="s">
        <v>478</v>
      </c>
      <c r="C1632" s="1">
        <v>1</v>
      </c>
      <c r="D1632" s="5">
        <f>(2.44+2.99)*2</f>
        <v>10.86</v>
      </c>
      <c r="E1632" s="1"/>
      <c r="F1632" s="5">
        <v>3.9</v>
      </c>
      <c r="G1632" s="4">
        <f t="shared" si="106"/>
        <v>42.353999999999999</v>
      </c>
      <c r="H1632" s="1" t="s">
        <v>10</v>
      </c>
      <c r="I1632" s="9"/>
      <c r="J1632" s="4"/>
      <c r="K1632" s="31"/>
    </row>
    <row r="1633" spans="1:11">
      <c r="A1633" s="13"/>
      <c r="B1633" s="46" t="s">
        <v>483</v>
      </c>
      <c r="C1633" s="1">
        <v>1</v>
      </c>
      <c r="D1633" s="5">
        <f>(2.215+2.515)*2</f>
        <v>9.4600000000000009</v>
      </c>
      <c r="E1633" s="1"/>
      <c r="F1633" s="5">
        <v>3.9</v>
      </c>
      <c r="G1633" s="4">
        <f t="shared" si="106"/>
        <v>36.894000000000005</v>
      </c>
      <c r="H1633" s="1" t="s">
        <v>10</v>
      </c>
      <c r="I1633" s="9"/>
      <c r="J1633" s="4"/>
      <c r="K1633" s="31"/>
    </row>
    <row r="1634" spans="1:11">
      <c r="A1634" s="13"/>
      <c r="B1634" s="46" t="s">
        <v>482</v>
      </c>
      <c r="C1634" s="1">
        <v>1</v>
      </c>
      <c r="D1634" s="5">
        <f>(3.345+3.01)*2</f>
        <v>12.71</v>
      </c>
      <c r="E1634" s="1"/>
      <c r="F1634" s="5">
        <v>3.9</v>
      </c>
      <c r="G1634" s="4">
        <f t="shared" si="106"/>
        <v>49.569000000000003</v>
      </c>
      <c r="H1634" s="1" t="s">
        <v>10</v>
      </c>
      <c r="I1634" s="9"/>
      <c r="J1634" s="4"/>
      <c r="K1634" s="31"/>
    </row>
    <row r="1635" spans="1:11">
      <c r="A1635" s="13"/>
      <c r="B1635" s="46" t="s">
        <v>497</v>
      </c>
      <c r="C1635" s="1">
        <v>1</v>
      </c>
      <c r="D1635" s="5">
        <f>(2.875+2.515)*2</f>
        <v>10.780000000000001</v>
      </c>
      <c r="E1635" s="1"/>
      <c r="F1635" s="5">
        <v>3.9</v>
      </c>
      <c r="G1635" s="4">
        <f t="shared" si="106"/>
        <v>42.042000000000002</v>
      </c>
      <c r="H1635" s="1" t="s">
        <v>10</v>
      </c>
      <c r="I1635" s="9"/>
      <c r="J1635" s="4"/>
      <c r="K1635" s="31"/>
    </row>
    <row r="1636" spans="1:11">
      <c r="A1636" s="13"/>
      <c r="B1636" s="46"/>
      <c r="C1636" s="1">
        <v>1</v>
      </c>
      <c r="D1636" s="5">
        <f>(2.515+1.5)*2</f>
        <v>8.0300000000000011</v>
      </c>
      <c r="E1636" s="1"/>
      <c r="F1636" s="5">
        <v>3.9</v>
      </c>
      <c r="G1636" s="4">
        <f t="shared" si="106"/>
        <v>31.317000000000004</v>
      </c>
      <c r="H1636" s="1" t="s">
        <v>10</v>
      </c>
      <c r="I1636" s="9"/>
      <c r="J1636" s="4"/>
      <c r="K1636" s="31"/>
    </row>
    <row r="1637" spans="1:11">
      <c r="A1637" s="13"/>
      <c r="B1637" s="46"/>
      <c r="C1637" s="1">
        <v>1</v>
      </c>
      <c r="D1637" s="5">
        <f>(1.915+2.835)*2</f>
        <v>9.5</v>
      </c>
      <c r="E1637" s="1"/>
      <c r="F1637" s="5">
        <v>3.9</v>
      </c>
      <c r="G1637" s="4">
        <f t="shared" si="106"/>
        <v>37.049999999999997</v>
      </c>
      <c r="H1637" s="1" t="s">
        <v>10</v>
      </c>
      <c r="I1637" s="9"/>
      <c r="J1637" s="4"/>
      <c r="K1637" s="31"/>
    </row>
    <row r="1638" spans="1:11">
      <c r="A1638" s="13"/>
      <c r="B1638" s="46"/>
      <c r="C1638" s="1">
        <v>2</v>
      </c>
      <c r="D1638" s="5">
        <f>(1.5+0.9)*2</f>
        <v>4.8</v>
      </c>
      <c r="E1638" s="1"/>
      <c r="F1638" s="5">
        <v>3.9</v>
      </c>
      <c r="G1638" s="4">
        <f t="shared" si="106"/>
        <v>37.44</v>
      </c>
      <c r="H1638" s="1" t="s">
        <v>10</v>
      </c>
      <c r="I1638" s="9"/>
      <c r="J1638" s="4"/>
      <c r="K1638" s="31"/>
    </row>
    <row r="1639" spans="1:11">
      <c r="A1639" s="13"/>
      <c r="B1639" s="46" t="s">
        <v>482</v>
      </c>
      <c r="C1639" s="1">
        <v>1</v>
      </c>
      <c r="D1639" s="5">
        <f>(3.345+3.01)*2</f>
        <v>12.71</v>
      </c>
      <c r="E1639" s="1"/>
      <c r="F1639" s="5">
        <v>3.9</v>
      </c>
      <c r="G1639" s="4">
        <f t="shared" si="106"/>
        <v>49.569000000000003</v>
      </c>
      <c r="H1639" s="1" t="s">
        <v>10</v>
      </c>
      <c r="I1639" s="9"/>
      <c r="J1639" s="4"/>
      <c r="K1639" s="31"/>
    </row>
    <row r="1640" spans="1:11">
      <c r="A1640" s="13"/>
      <c r="B1640" s="46" t="s">
        <v>522</v>
      </c>
      <c r="C1640" s="1">
        <v>1</v>
      </c>
      <c r="D1640" s="5">
        <f>(3.36+3.01)*2</f>
        <v>12.739999999999998</v>
      </c>
      <c r="E1640" s="1"/>
      <c r="F1640" s="5">
        <v>3.9</v>
      </c>
      <c r="G1640" s="4">
        <f t="shared" si="106"/>
        <v>49.685999999999993</v>
      </c>
      <c r="H1640" s="1" t="s">
        <v>10</v>
      </c>
      <c r="I1640" s="9"/>
      <c r="J1640" s="4"/>
      <c r="K1640" s="31"/>
    </row>
    <row r="1641" spans="1:11">
      <c r="A1641" s="13"/>
      <c r="B1641" s="46"/>
      <c r="C1641" s="1">
        <v>1</v>
      </c>
      <c r="D1641" s="5">
        <v>56</v>
      </c>
      <c r="E1641" s="1"/>
      <c r="F1641" s="5">
        <v>3.9</v>
      </c>
      <c r="G1641" s="4">
        <f t="shared" si="106"/>
        <v>218.4</v>
      </c>
      <c r="H1641" s="1" t="s">
        <v>10</v>
      </c>
      <c r="I1641" s="9"/>
      <c r="J1641" s="4"/>
      <c r="K1641" s="31"/>
    </row>
    <row r="1642" spans="1:11">
      <c r="A1642" s="13"/>
      <c r="B1642" s="46"/>
      <c r="C1642" s="1">
        <v>1</v>
      </c>
      <c r="D1642" s="5">
        <f>(3.61+2.835)*2</f>
        <v>12.89</v>
      </c>
      <c r="E1642" s="1"/>
      <c r="F1642" s="5">
        <v>3.9</v>
      </c>
      <c r="G1642" s="4">
        <f t="shared" si="106"/>
        <v>50.271000000000001</v>
      </c>
      <c r="H1642" s="1" t="s">
        <v>10</v>
      </c>
      <c r="I1642" s="9"/>
      <c r="J1642" s="4"/>
      <c r="K1642" s="31"/>
    </row>
    <row r="1643" spans="1:11">
      <c r="A1643" s="13"/>
      <c r="B1643" s="46"/>
      <c r="C1643" s="1">
        <v>1</v>
      </c>
      <c r="D1643" s="5">
        <f>(1.5+1.35)*2</f>
        <v>5.7</v>
      </c>
      <c r="E1643" s="1"/>
      <c r="F1643" s="5">
        <v>3.9</v>
      </c>
      <c r="G1643" s="4">
        <f t="shared" si="106"/>
        <v>22.23</v>
      </c>
      <c r="H1643" s="1" t="s">
        <v>10</v>
      </c>
      <c r="I1643" s="9"/>
      <c r="J1643" s="4"/>
      <c r="K1643" s="31"/>
    </row>
    <row r="1644" spans="1:11">
      <c r="A1644" s="13"/>
      <c r="B1644" s="46"/>
      <c r="C1644" s="1">
        <v>1</v>
      </c>
      <c r="D1644" s="5">
        <f>(0.9+1.5)*2</f>
        <v>4.8</v>
      </c>
      <c r="E1644" s="1"/>
      <c r="F1644" s="5">
        <v>3.9</v>
      </c>
      <c r="G1644" s="4">
        <f t="shared" si="106"/>
        <v>18.72</v>
      </c>
      <c r="H1644" s="1" t="s">
        <v>10</v>
      </c>
      <c r="I1644" s="9"/>
      <c r="J1644" s="4"/>
      <c r="K1644" s="31"/>
    </row>
    <row r="1645" spans="1:11">
      <c r="A1645" s="13"/>
      <c r="B1645" s="46"/>
      <c r="C1645" s="1">
        <v>1</v>
      </c>
      <c r="D1645" s="5">
        <f>(1.615+1.13)*2</f>
        <v>5.49</v>
      </c>
      <c r="E1645" s="1"/>
      <c r="F1645" s="5">
        <v>3.9</v>
      </c>
      <c r="G1645" s="4">
        <f t="shared" si="106"/>
        <v>21.411000000000001</v>
      </c>
      <c r="H1645" s="1" t="s">
        <v>10</v>
      </c>
      <c r="I1645" s="9"/>
      <c r="J1645" s="4"/>
      <c r="K1645" s="31"/>
    </row>
    <row r="1646" spans="1:11">
      <c r="A1646" s="13"/>
      <c r="B1646" s="46" t="s">
        <v>523</v>
      </c>
      <c r="C1646" s="1">
        <v>1</v>
      </c>
      <c r="D1646" s="5">
        <v>2</v>
      </c>
      <c r="E1646" s="5"/>
      <c r="F1646" s="5">
        <v>2.4500000000000002</v>
      </c>
      <c r="G1646" s="4">
        <f>-C1646*D1646*F1646</f>
        <v>-4.9000000000000004</v>
      </c>
      <c r="H1646" s="1" t="s">
        <v>10</v>
      </c>
      <c r="J1646" s="4"/>
      <c r="K1646" s="31"/>
    </row>
    <row r="1647" spans="1:11">
      <c r="A1647" s="13"/>
      <c r="B1647" s="46" t="s">
        <v>454</v>
      </c>
      <c r="C1647" s="1">
        <v>9</v>
      </c>
      <c r="D1647" s="5">
        <v>1.2</v>
      </c>
      <c r="E1647" s="5"/>
      <c r="F1647" s="5">
        <v>1.2</v>
      </c>
      <c r="G1647" s="4">
        <f t="shared" ref="G1647:G1663" si="107">-C1647*D1647*F1647</f>
        <v>-12.959999999999999</v>
      </c>
      <c r="H1647" s="1" t="s">
        <v>10</v>
      </c>
      <c r="J1647" s="4"/>
      <c r="K1647" s="31"/>
    </row>
    <row r="1648" spans="1:11">
      <c r="A1648" s="13"/>
      <c r="B1648" s="46" t="s">
        <v>455</v>
      </c>
      <c r="C1648" s="1">
        <v>1</v>
      </c>
      <c r="D1648" s="5">
        <v>1.5</v>
      </c>
      <c r="E1648" s="5"/>
      <c r="F1648" s="5">
        <v>2.4500000000000002</v>
      </c>
      <c r="G1648" s="4">
        <f t="shared" si="107"/>
        <v>-3.6750000000000003</v>
      </c>
      <c r="H1648" s="1" t="s">
        <v>10</v>
      </c>
      <c r="J1648" s="4"/>
      <c r="K1648" s="31"/>
    </row>
    <row r="1649" spans="1:11">
      <c r="A1649" s="13"/>
      <c r="B1649" s="46" t="s">
        <v>30</v>
      </c>
      <c r="C1649" s="1">
        <v>1</v>
      </c>
      <c r="D1649" s="5">
        <v>1.8</v>
      </c>
      <c r="E1649" s="5"/>
      <c r="F1649" s="5">
        <v>2.4500000000000002</v>
      </c>
      <c r="G1649" s="4">
        <f t="shared" si="107"/>
        <v>-4.41</v>
      </c>
      <c r="H1649" s="1" t="s">
        <v>10</v>
      </c>
      <c r="J1649" s="4"/>
      <c r="K1649" s="31"/>
    </row>
    <row r="1650" spans="1:11">
      <c r="A1650" s="13"/>
      <c r="B1650" s="46" t="s">
        <v>456</v>
      </c>
      <c r="C1650" s="1">
        <v>1</v>
      </c>
      <c r="D1650" s="5">
        <v>1.5</v>
      </c>
      <c r="E1650" s="5"/>
      <c r="F1650" s="5">
        <v>2.0499999999999998</v>
      </c>
      <c r="G1650" s="4">
        <f t="shared" si="107"/>
        <v>-3.0749999999999997</v>
      </c>
      <c r="H1650" s="1" t="s">
        <v>10</v>
      </c>
      <c r="J1650" s="4"/>
      <c r="K1650" s="31"/>
    </row>
    <row r="1651" spans="1:11">
      <c r="A1651" s="13"/>
      <c r="B1651" s="46" t="s">
        <v>29</v>
      </c>
      <c r="C1651" s="1">
        <v>11</v>
      </c>
      <c r="D1651" s="5">
        <v>1.35</v>
      </c>
      <c r="E1651" s="5"/>
      <c r="F1651" s="5">
        <v>2.4500000000000002</v>
      </c>
      <c r="G1651" s="4">
        <f t="shared" si="107"/>
        <v>-36.382500000000007</v>
      </c>
      <c r="H1651" s="1" t="s">
        <v>10</v>
      </c>
      <c r="J1651" s="4"/>
      <c r="K1651" s="31"/>
    </row>
    <row r="1652" spans="1:11">
      <c r="A1652" s="13"/>
      <c r="B1652" s="46" t="s">
        <v>95</v>
      </c>
      <c r="C1652" s="1">
        <v>2</v>
      </c>
      <c r="D1652" s="5">
        <v>1.2</v>
      </c>
      <c r="E1652" s="5"/>
      <c r="F1652" s="5">
        <v>2.4500000000000002</v>
      </c>
      <c r="G1652" s="4">
        <f t="shared" si="107"/>
        <v>-5.88</v>
      </c>
      <c r="H1652" s="1" t="s">
        <v>10</v>
      </c>
      <c r="J1652" s="4"/>
      <c r="K1652" s="31"/>
    </row>
    <row r="1653" spans="1:11">
      <c r="A1653" s="13"/>
      <c r="B1653" s="46" t="s">
        <v>96</v>
      </c>
      <c r="C1653" s="1">
        <v>3</v>
      </c>
      <c r="D1653" s="5">
        <v>1.05</v>
      </c>
      <c r="E1653" s="5"/>
      <c r="F1653" s="5">
        <v>2.4500000000000002</v>
      </c>
      <c r="G1653" s="4">
        <f t="shared" si="107"/>
        <v>-7.7175000000000011</v>
      </c>
      <c r="H1653" s="1" t="s">
        <v>10</v>
      </c>
      <c r="J1653" s="4"/>
      <c r="K1653" s="31"/>
    </row>
    <row r="1654" spans="1:11">
      <c r="A1654" s="13"/>
      <c r="B1654" s="46" t="s">
        <v>98</v>
      </c>
      <c r="C1654" s="1">
        <v>3</v>
      </c>
      <c r="D1654" s="5">
        <v>0.9</v>
      </c>
      <c r="E1654" s="5"/>
      <c r="F1654" s="5">
        <v>2.4500000000000002</v>
      </c>
      <c r="G1654" s="4">
        <f t="shared" si="107"/>
        <v>-6.6150000000000011</v>
      </c>
      <c r="H1654" s="1" t="s">
        <v>10</v>
      </c>
      <c r="J1654" s="4"/>
      <c r="K1654" s="31"/>
    </row>
    <row r="1655" spans="1:11">
      <c r="A1655" s="13"/>
      <c r="B1655" s="46" t="s">
        <v>100</v>
      </c>
      <c r="C1655" s="1">
        <v>9</v>
      </c>
      <c r="D1655" s="5">
        <v>1.8</v>
      </c>
      <c r="E1655" s="5"/>
      <c r="F1655" s="5">
        <v>1.5</v>
      </c>
      <c r="G1655" s="4">
        <f t="shared" si="107"/>
        <v>-24.299999999999997</v>
      </c>
      <c r="H1655" s="1" t="s">
        <v>10</v>
      </c>
      <c r="J1655" s="4"/>
      <c r="K1655" s="31"/>
    </row>
    <row r="1656" spans="1:11">
      <c r="A1656" s="13"/>
      <c r="B1656" s="46" t="s">
        <v>457</v>
      </c>
      <c r="C1656" s="1">
        <v>2</v>
      </c>
      <c r="D1656" s="5">
        <v>0.6</v>
      </c>
      <c r="E1656" s="5"/>
      <c r="F1656" s="5">
        <v>1.5</v>
      </c>
      <c r="G1656" s="4">
        <f t="shared" si="107"/>
        <v>-1.7999999999999998</v>
      </c>
      <c r="H1656" s="1" t="s">
        <v>10</v>
      </c>
      <c r="J1656" s="4"/>
      <c r="K1656" s="31"/>
    </row>
    <row r="1657" spans="1:11">
      <c r="A1657" s="13"/>
      <c r="B1657" s="46" t="s">
        <v>447</v>
      </c>
      <c r="C1657" s="1">
        <v>2</v>
      </c>
      <c r="D1657" s="5">
        <v>0.45</v>
      </c>
      <c r="E1657" s="5"/>
      <c r="F1657" s="5">
        <v>2.4500000000000002</v>
      </c>
      <c r="G1657" s="4">
        <f t="shared" si="107"/>
        <v>-2.2050000000000001</v>
      </c>
      <c r="H1657" s="1" t="s">
        <v>10</v>
      </c>
      <c r="J1657" s="4"/>
      <c r="K1657" s="31"/>
    </row>
    <row r="1658" spans="1:11">
      <c r="A1658" s="13"/>
      <c r="B1658" s="46" t="s">
        <v>103</v>
      </c>
      <c r="C1658" s="1">
        <v>11</v>
      </c>
      <c r="D1658" s="5">
        <v>1.8</v>
      </c>
      <c r="E1658" s="5"/>
      <c r="F1658" s="5">
        <v>0.75</v>
      </c>
      <c r="G1658" s="4">
        <f t="shared" si="107"/>
        <v>-14.850000000000001</v>
      </c>
      <c r="H1658" s="1" t="s">
        <v>10</v>
      </c>
      <c r="J1658" s="4"/>
      <c r="K1658" s="31"/>
    </row>
    <row r="1659" spans="1:11">
      <c r="A1659" s="13"/>
      <c r="B1659" s="46" t="s">
        <v>104</v>
      </c>
      <c r="C1659" s="1">
        <v>2</v>
      </c>
      <c r="D1659" s="5">
        <v>1.5</v>
      </c>
      <c r="E1659" s="5"/>
      <c r="F1659" s="5">
        <v>0.75</v>
      </c>
      <c r="G1659" s="4">
        <f t="shared" si="107"/>
        <v>-2.25</v>
      </c>
      <c r="H1659" s="1" t="s">
        <v>10</v>
      </c>
      <c r="J1659" s="4"/>
      <c r="K1659" s="31"/>
    </row>
    <row r="1660" spans="1:11">
      <c r="A1660" s="13"/>
      <c r="B1660" s="46" t="s">
        <v>105</v>
      </c>
      <c r="C1660" s="1">
        <v>2</v>
      </c>
      <c r="D1660" s="5">
        <v>1.2</v>
      </c>
      <c r="E1660" s="5"/>
      <c r="F1660" s="5">
        <v>0.75</v>
      </c>
      <c r="G1660" s="4">
        <f t="shared" si="107"/>
        <v>-1.7999999999999998</v>
      </c>
      <c r="H1660" s="1" t="s">
        <v>10</v>
      </c>
      <c r="J1660" s="4"/>
      <c r="K1660" s="31"/>
    </row>
    <row r="1661" spans="1:11">
      <c r="A1661" s="13"/>
      <c r="B1661" s="46" t="s">
        <v>444</v>
      </c>
      <c r="C1661" s="1">
        <v>1</v>
      </c>
      <c r="D1661" s="5">
        <v>1.2</v>
      </c>
      <c r="E1661" s="5"/>
      <c r="F1661" s="5">
        <v>0.6</v>
      </c>
      <c r="G1661" s="4">
        <f t="shared" si="107"/>
        <v>-0.72</v>
      </c>
      <c r="H1661" s="1" t="s">
        <v>10</v>
      </c>
      <c r="J1661" s="4"/>
      <c r="K1661" s="31"/>
    </row>
    <row r="1662" spans="1:11">
      <c r="A1662" s="13"/>
      <c r="B1662" s="46" t="s">
        <v>108</v>
      </c>
      <c r="C1662" s="1">
        <v>5</v>
      </c>
      <c r="D1662" s="5">
        <v>0.6</v>
      </c>
      <c r="E1662" s="5"/>
      <c r="F1662" s="83">
        <v>0.6</v>
      </c>
      <c r="G1662" s="4">
        <f t="shared" si="107"/>
        <v>-1.7999999999999998</v>
      </c>
      <c r="H1662" s="1" t="s">
        <v>10</v>
      </c>
      <c r="J1662" s="4"/>
      <c r="K1662" s="31"/>
    </row>
    <row r="1663" spans="1:11">
      <c r="A1663" s="13"/>
      <c r="B1663" s="46" t="s">
        <v>458</v>
      </c>
      <c r="C1663" s="1">
        <v>2</v>
      </c>
      <c r="D1663" s="5">
        <f>1.8+0.3</f>
        <v>2.1</v>
      </c>
      <c r="E1663" s="5"/>
      <c r="F1663" s="57">
        <v>2.4500000000000002</v>
      </c>
      <c r="G1663" s="4">
        <f t="shared" si="107"/>
        <v>-10.290000000000001</v>
      </c>
      <c r="H1663" s="1" t="s">
        <v>10</v>
      </c>
      <c r="J1663" s="4"/>
      <c r="K1663" s="31"/>
    </row>
    <row r="1664" spans="1:11">
      <c r="A1664" s="13"/>
      <c r="B1664" s="46" t="s">
        <v>606</v>
      </c>
      <c r="C1664" s="1"/>
      <c r="D1664" s="5"/>
      <c r="E1664" s="5"/>
      <c r="G1664" s="4">
        <f>-G1785</f>
        <v>-427</v>
      </c>
      <c r="H1664" s="1" t="s">
        <v>10</v>
      </c>
      <c r="J1664" s="4"/>
      <c r="K1664" s="31"/>
    </row>
    <row r="1665" spans="1:11">
      <c r="A1665" s="13"/>
      <c r="B1665" s="46"/>
      <c r="C1665" s="1"/>
      <c r="D1665" s="5"/>
      <c r="E1665" s="5"/>
      <c r="G1665" s="4"/>
      <c r="H1665" s="1"/>
      <c r="J1665" s="4"/>
      <c r="K1665" s="31"/>
    </row>
    <row r="1666" spans="1:11">
      <c r="A1666" s="13"/>
      <c r="B1666" s="9"/>
      <c r="C1666" s="1"/>
      <c r="D1666" s="5"/>
      <c r="E1666" s="5"/>
      <c r="F1666" s="34" t="s">
        <v>11</v>
      </c>
      <c r="G1666" s="53">
        <f>SUM(G1608:G1665)</f>
        <v>1944.9527499999995</v>
      </c>
      <c r="H1666" s="50" t="s">
        <v>17</v>
      </c>
      <c r="I1666" s="9"/>
      <c r="J1666" s="4"/>
      <c r="K1666" s="31"/>
    </row>
    <row r="1667" spans="1:11">
      <c r="A1667" s="13"/>
      <c r="B1667" s="9"/>
      <c r="C1667" s="1"/>
      <c r="D1667" s="1"/>
      <c r="E1667" s="1"/>
      <c r="F1667" s="56" t="s">
        <v>13</v>
      </c>
      <c r="G1667" s="27">
        <f>ROUNDUP(G1666,0)</f>
        <v>1945</v>
      </c>
      <c r="H1667" s="28" t="s">
        <v>17</v>
      </c>
      <c r="I1667" s="9"/>
      <c r="J1667" s="46"/>
      <c r="K1667" s="31"/>
    </row>
    <row r="1668" spans="1:11">
      <c r="A1668" s="13"/>
      <c r="B1668" s="15"/>
      <c r="C1668" s="1"/>
      <c r="D1668" s="1"/>
      <c r="E1668" s="1"/>
      <c r="F1668" s="1"/>
      <c r="G1668" s="33"/>
      <c r="H1668" s="24"/>
      <c r="I1668" s="9"/>
      <c r="J1668" s="46"/>
      <c r="K1668" s="31"/>
    </row>
    <row r="1669" spans="1:11">
      <c r="A1669" s="13"/>
      <c r="B1669" s="15" t="s">
        <v>445</v>
      </c>
      <c r="I1669" s="9"/>
      <c r="J1669" s="46"/>
      <c r="K1669" s="31"/>
    </row>
    <row r="1670" spans="1:11">
      <c r="A1670" s="13"/>
      <c r="B1670" s="46" t="s">
        <v>524</v>
      </c>
      <c r="C1670" s="1">
        <v>1</v>
      </c>
      <c r="D1670" s="5">
        <f>6.565+5.775+5.775</f>
        <v>18.115000000000002</v>
      </c>
      <c r="E1670" s="1"/>
      <c r="F1670" s="5">
        <v>3.35</v>
      </c>
      <c r="G1670" s="4">
        <f>C1670*D1670*F1670</f>
        <v>60.685250000000011</v>
      </c>
      <c r="H1670" s="1" t="s">
        <v>17</v>
      </c>
      <c r="I1670" s="9"/>
      <c r="J1670" s="46"/>
      <c r="K1670" s="31"/>
    </row>
    <row r="1671" spans="1:11">
      <c r="A1671" s="13"/>
      <c r="B1671" s="46"/>
      <c r="C1671" s="1">
        <v>1</v>
      </c>
      <c r="D1671" s="5">
        <f>4.895+4.27+4.895</f>
        <v>14.059999999999999</v>
      </c>
      <c r="E1671" s="1"/>
      <c r="F1671" s="5">
        <v>3.35</v>
      </c>
      <c r="G1671" s="4">
        <f t="shared" ref="G1671:G1702" si="108">C1671*D1671*F1671</f>
        <v>47.100999999999999</v>
      </c>
      <c r="H1671" s="1" t="s">
        <v>10</v>
      </c>
      <c r="I1671" s="9"/>
      <c r="J1671" s="46"/>
      <c r="K1671" s="31"/>
    </row>
    <row r="1672" spans="1:11">
      <c r="A1672" s="13"/>
      <c r="B1672" s="46" t="s">
        <v>525</v>
      </c>
      <c r="C1672" s="1">
        <v>1</v>
      </c>
      <c r="D1672" s="5">
        <f>3.62+1.24+2.655</f>
        <v>7.5150000000000006</v>
      </c>
      <c r="E1672" s="1"/>
      <c r="F1672" s="5">
        <v>3.35</v>
      </c>
      <c r="G1672" s="4">
        <f t="shared" si="108"/>
        <v>25.175250000000002</v>
      </c>
      <c r="H1672" s="1" t="s">
        <v>10</v>
      </c>
      <c r="I1672" s="9"/>
      <c r="J1672" s="46"/>
      <c r="K1672" s="31"/>
    </row>
    <row r="1673" spans="1:11">
      <c r="A1673" s="13"/>
      <c r="B1673" s="46" t="s">
        <v>31</v>
      </c>
      <c r="C1673" s="1">
        <v>1</v>
      </c>
      <c r="D1673" s="5">
        <f>(2.15+1.35)*2</f>
        <v>7</v>
      </c>
      <c r="E1673" s="1"/>
      <c r="F1673" s="5">
        <v>3.35</v>
      </c>
      <c r="G1673" s="4">
        <f t="shared" si="108"/>
        <v>23.45</v>
      </c>
      <c r="H1673" s="1" t="s">
        <v>10</v>
      </c>
      <c r="I1673" s="9"/>
      <c r="J1673" s="46"/>
      <c r="K1673" s="31"/>
    </row>
    <row r="1674" spans="1:11">
      <c r="A1674" s="13"/>
      <c r="B1674" s="46" t="s">
        <v>526</v>
      </c>
      <c r="C1674" s="1">
        <v>1</v>
      </c>
      <c r="D1674" s="5">
        <f>(1.35+1.355)*2</f>
        <v>5.41</v>
      </c>
      <c r="E1674" s="1"/>
      <c r="F1674" s="5">
        <v>3.35</v>
      </c>
      <c r="G1674" s="4">
        <f t="shared" si="108"/>
        <v>18.1235</v>
      </c>
      <c r="H1674" s="1" t="s">
        <v>10</v>
      </c>
      <c r="I1674" s="9"/>
      <c r="J1674" s="46"/>
      <c r="K1674" s="31"/>
    </row>
    <row r="1675" spans="1:11">
      <c r="A1675" s="13"/>
      <c r="B1675" s="46" t="s">
        <v>527</v>
      </c>
      <c r="C1675" s="1">
        <v>1</v>
      </c>
      <c r="D1675" s="5">
        <f>(4.27+22.035)*2</f>
        <v>52.61</v>
      </c>
      <c r="E1675" s="1"/>
      <c r="F1675" s="5">
        <v>3.35</v>
      </c>
      <c r="G1675" s="4">
        <f t="shared" si="108"/>
        <v>176.24350000000001</v>
      </c>
      <c r="H1675" s="1" t="s">
        <v>10</v>
      </c>
      <c r="I1675" s="9"/>
      <c r="J1675" s="46"/>
      <c r="K1675" s="31"/>
    </row>
    <row r="1676" spans="1:11">
      <c r="A1676" s="13"/>
      <c r="B1676" s="46"/>
      <c r="C1676" s="1">
        <v>1</v>
      </c>
      <c r="D1676" s="5">
        <f>5.705+4.895+5.705</f>
        <v>16.305</v>
      </c>
      <c r="E1676" s="1"/>
      <c r="F1676" s="5">
        <v>3.35</v>
      </c>
      <c r="G1676" s="4">
        <f t="shared" si="108"/>
        <v>54.621749999999999</v>
      </c>
      <c r="H1676" s="1" t="s">
        <v>10</v>
      </c>
      <c r="I1676" s="9"/>
      <c r="J1676" s="46"/>
      <c r="K1676" s="31"/>
    </row>
    <row r="1677" spans="1:11">
      <c r="A1677" s="13"/>
      <c r="B1677" s="46" t="s">
        <v>494</v>
      </c>
      <c r="C1677" s="1">
        <v>1</v>
      </c>
      <c r="D1677" s="5">
        <f>(3.43+5.59)*2</f>
        <v>18.04</v>
      </c>
      <c r="E1677" s="1"/>
      <c r="F1677" s="5">
        <v>3.35</v>
      </c>
      <c r="G1677" s="4">
        <f t="shared" si="108"/>
        <v>60.433999999999997</v>
      </c>
      <c r="H1677" s="1" t="s">
        <v>10</v>
      </c>
      <c r="I1677" s="9"/>
      <c r="J1677" s="46"/>
      <c r="K1677" s="31"/>
    </row>
    <row r="1678" spans="1:11">
      <c r="A1678" s="13"/>
      <c r="B1678" s="46" t="s">
        <v>495</v>
      </c>
      <c r="C1678" s="1">
        <v>1</v>
      </c>
      <c r="D1678" s="5">
        <f>(2.815+1.605)*2</f>
        <v>8.84</v>
      </c>
      <c r="E1678" s="1"/>
      <c r="F1678" s="5">
        <v>3.35</v>
      </c>
      <c r="G1678" s="4">
        <f t="shared" si="108"/>
        <v>29.614000000000001</v>
      </c>
      <c r="H1678" s="1" t="s">
        <v>10</v>
      </c>
      <c r="I1678" s="9"/>
      <c r="J1678" s="46"/>
      <c r="K1678" s="31"/>
    </row>
    <row r="1679" spans="1:11">
      <c r="A1679" s="13"/>
      <c r="B1679" s="46" t="s">
        <v>478</v>
      </c>
      <c r="C1679" s="1">
        <v>1</v>
      </c>
      <c r="D1679" s="5">
        <f>(1.35+1.455)*2</f>
        <v>5.61</v>
      </c>
      <c r="E1679" s="1"/>
      <c r="F1679" s="5">
        <v>3.35</v>
      </c>
      <c r="G1679" s="4">
        <f t="shared" si="108"/>
        <v>18.793500000000002</v>
      </c>
      <c r="H1679" s="1" t="s">
        <v>10</v>
      </c>
      <c r="I1679" s="9"/>
      <c r="J1679" s="46"/>
      <c r="K1679" s="31"/>
    </row>
    <row r="1680" spans="1:11">
      <c r="A1680" s="13"/>
      <c r="B1680" s="46" t="s">
        <v>498</v>
      </c>
      <c r="C1680" s="1">
        <v>1</v>
      </c>
      <c r="D1680" s="5">
        <f>(2.42+4.615)*2</f>
        <v>14.07</v>
      </c>
      <c r="E1680" s="1"/>
      <c r="F1680" s="5">
        <v>3.35</v>
      </c>
      <c r="G1680" s="4">
        <f t="shared" si="108"/>
        <v>47.134500000000003</v>
      </c>
      <c r="H1680" s="1" t="s">
        <v>10</v>
      </c>
      <c r="I1680" s="9"/>
      <c r="J1680" s="46"/>
      <c r="K1680" s="31"/>
    </row>
    <row r="1681" spans="1:11">
      <c r="A1681" s="13"/>
      <c r="B1681" s="46"/>
      <c r="C1681" s="1">
        <v>1</v>
      </c>
      <c r="D1681" s="5">
        <f>(5.12+1.76)*2</f>
        <v>13.76</v>
      </c>
      <c r="E1681" s="1"/>
      <c r="F1681" s="5">
        <v>3.35</v>
      </c>
      <c r="G1681" s="4">
        <f t="shared" si="108"/>
        <v>46.096000000000004</v>
      </c>
      <c r="H1681" s="1" t="s">
        <v>10</v>
      </c>
      <c r="I1681" s="9"/>
      <c r="J1681" s="46"/>
      <c r="K1681" s="31"/>
    </row>
    <row r="1682" spans="1:11">
      <c r="A1682" s="13"/>
      <c r="B1682" s="46" t="s">
        <v>500</v>
      </c>
      <c r="C1682" s="1">
        <v>1</v>
      </c>
      <c r="D1682" s="5">
        <f>(4.885+7.61)*2</f>
        <v>24.990000000000002</v>
      </c>
      <c r="E1682" s="1"/>
      <c r="F1682" s="5">
        <v>3.35</v>
      </c>
      <c r="G1682" s="4">
        <f t="shared" si="108"/>
        <v>83.716500000000011</v>
      </c>
      <c r="H1682" s="1" t="s">
        <v>10</v>
      </c>
      <c r="I1682" s="9"/>
      <c r="J1682" s="46"/>
      <c r="K1682" s="31"/>
    </row>
    <row r="1683" spans="1:11">
      <c r="A1683" s="13"/>
      <c r="B1683" s="46"/>
      <c r="C1683" s="1">
        <v>1</v>
      </c>
      <c r="D1683" s="5">
        <f>(4.885+2.25)*2</f>
        <v>14.27</v>
      </c>
      <c r="E1683" s="1"/>
      <c r="F1683" s="5">
        <v>3.35</v>
      </c>
      <c r="G1683" s="4">
        <f t="shared" si="108"/>
        <v>47.804499999999997</v>
      </c>
      <c r="H1683" s="1" t="s">
        <v>10</v>
      </c>
      <c r="I1683" s="9"/>
      <c r="J1683" s="46"/>
      <c r="K1683" s="31"/>
    </row>
    <row r="1684" spans="1:11">
      <c r="A1684" s="13"/>
      <c r="B1684" s="46" t="s">
        <v>136</v>
      </c>
      <c r="C1684" s="1">
        <v>1</v>
      </c>
      <c r="D1684" s="5">
        <f>(4.77+4.63)*2</f>
        <v>18.799999999999997</v>
      </c>
      <c r="E1684" s="1"/>
      <c r="F1684" s="5">
        <v>3.35</v>
      </c>
      <c r="G1684" s="4">
        <f t="shared" si="108"/>
        <v>62.97999999999999</v>
      </c>
      <c r="H1684" s="1" t="s">
        <v>10</v>
      </c>
      <c r="I1684" s="9"/>
      <c r="J1684" s="46"/>
      <c r="K1684" s="31"/>
    </row>
    <row r="1685" spans="1:11">
      <c r="A1685" s="13"/>
      <c r="B1685" s="46" t="s">
        <v>501</v>
      </c>
      <c r="C1685" s="1">
        <v>1</v>
      </c>
      <c r="D1685" s="5">
        <f>(3.155+5.23)*2</f>
        <v>16.77</v>
      </c>
      <c r="E1685" s="1"/>
      <c r="F1685" s="5">
        <v>3.35</v>
      </c>
      <c r="G1685" s="4">
        <f t="shared" si="108"/>
        <v>56.179499999999997</v>
      </c>
      <c r="H1685" s="1" t="s">
        <v>10</v>
      </c>
      <c r="I1685" s="9"/>
      <c r="J1685" s="46"/>
      <c r="K1685" s="31"/>
    </row>
    <row r="1686" spans="1:11">
      <c r="A1686" s="13"/>
      <c r="B1686" s="46" t="s">
        <v>31</v>
      </c>
      <c r="C1686" s="1">
        <v>1</v>
      </c>
      <c r="D1686" s="5">
        <f>(1.5+2.5)*2</f>
        <v>8</v>
      </c>
      <c r="E1686" s="1"/>
      <c r="F1686" s="5">
        <v>3.35</v>
      </c>
      <c r="G1686" s="4">
        <f t="shared" si="108"/>
        <v>26.8</v>
      </c>
      <c r="H1686" s="1" t="s">
        <v>10</v>
      </c>
      <c r="I1686" s="9"/>
      <c r="J1686" s="46"/>
      <c r="K1686" s="31"/>
    </row>
    <row r="1687" spans="1:11">
      <c r="A1687" s="13"/>
      <c r="B1687" s="46" t="s">
        <v>502</v>
      </c>
      <c r="C1687" s="1">
        <v>1</v>
      </c>
      <c r="D1687" s="5">
        <f>(1.5+1.41)*2</f>
        <v>5.82</v>
      </c>
      <c r="E1687" s="1"/>
      <c r="F1687" s="5">
        <v>3.35</v>
      </c>
      <c r="G1687" s="4">
        <f t="shared" si="108"/>
        <v>19.497</v>
      </c>
      <c r="H1687" s="1" t="s">
        <v>10</v>
      </c>
      <c r="I1687" s="9"/>
      <c r="J1687" s="46"/>
      <c r="K1687" s="31"/>
    </row>
    <row r="1688" spans="1:11">
      <c r="A1688" s="13"/>
      <c r="B1688" s="46" t="s">
        <v>503</v>
      </c>
      <c r="C1688" s="1">
        <v>1</v>
      </c>
      <c r="D1688" s="5">
        <f>(4.885+4.215)*2</f>
        <v>18.2</v>
      </c>
      <c r="E1688" s="1"/>
      <c r="F1688" s="5">
        <v>3.35</v>
      </c>
      <c r="G1688" s="4">
        <f t="shared" si="108"/>
        <v>60.97</v>
      </c>
      <c r="H1688" s="1" t="s">
        <v>10</v>
      </c>
      <c r="I1688" s="9"/>
      <c r="J1688" s="46"/>
      <c r="K1688" s="31"/>
    </row>
    <row r="1689" spans="1:11">
      <c r="A1689" s="13"/>
      <c r="B1689" s="46"/>
      <c r="C1689" s="1">
        <v>1</v>
      </c>
      <c r="D1689" s="5">
        <f>(2.29+2.515)*2</f>
        <v>9.61</v>
      </c>
      <c r="E1689" s="1"/>
      <c r="F1689" s="5">
        <v>3.35</v>
      </c>
      <c r="G1689" s="4">
        <f t="shared" si="108"/>
        <v>32.1935</v>
      </c>
      <c r="H1689" s="1" t="s">
        <v>10</v>
      </c>
      <c r="I1689" s="9"/>
      <c r="J1689" s="46"/>
      <c r="K1689" s="31"/>
    </row>
    <row r="1690" spans="1:11">
      <c r="A1690" s="13"/>
      <c r="B1690" s="46" t="s">
        <v>504</v>
      </c>
      <c r="C1690" s="1">
        <v>1</v>
      </c>
      <c r="D1690" s="5">
        <f>(2.48+1.35)*2</f>
        <v>7.66</v>
      </c>
      <c r="E1690" s="1"/>
      <c r="F1690" s="5">
        <v>3.35</v>
      </c>
      <c r="G1690" s="4">
        <f t="shared" si="108"/>
        <v>25.661000000000001</v>
      </c>
      <c r="H1690" s="1" t="s">
        <v>10</v>
      </c>
      <c r="I1690" s="9"/>
      <c r="J1690" s="46"/>
      <c r="K1690" s="31"/>
    </row>
    <row r="1691" spans="1:11">
      <c r="A1691" s="13"/>
      <c r="B1691" s="46" t="s">
        <v>528</v>
      </c>
      <c r="C1691" s="1">
        <v>1</v>
      </c>
      <c r="D1691" s="5">
        <f>(2.48+1.05)*2</f>
        <v>7.0600000000000005</v>
      </c>
      <c r="E1691" s="1"/>
      <c r="F1691" s="5">
        <v>3.35</v>
      </c>
      <c r="G1691" s="4">
        <f t="shared" si="108"/>
        <v>23.651000000000003</v>
      </c>
      <c r="H1691" s="1" t="s">
        <v>10</v>
      </c>
      <c r="I1691" s="9"/>
      <c r="J1691" s="46"/>
      <c r="K1691" s="31"/>
    </row>
    <row r="1692" spans="1:11">
      <c r="A1692" s="13"/>
      <c r="B1692" s="46" t="s">
        <v>529</v>
      </c>
      <c r="C1692" s="1">
        <v>1</v>
      </c>
      <c r="D1692" s="5">
        <f>(6.12+2.9)*2</f>
        <v>18.04</v>
      </c>
      <c r="E1692" s="1"/>
      <c r="F1692" s="5">
        <v>3.35</v>
      </c>
      <c r="G1692" s="4">
        <f t="shared" si="108"/>
        <v>60.433999999999997</v>
      </c>
      <c r="H1692" s="1" t="s">
        <v>10</v>
      </c>
      <c r="I1692" s="9"/>
      <c r="J1692" s="46"/>
      <c r="K1692" s="31"/>
    </row>
    <row r="1693" spans="1:11">
      <c r="A1693" s="13"/>
      <c r="B1693" s="46" t="s">
        <v>509</v>
      </c>
      <c r="C1693" s="1">
        <v>1</v>
      </c>
      <c r="D1693" s="5">
        <f>(7.855+4.885)*2</f>
        <v>25.48</v>
      </c>
      <c r="E1693" s="1"/>
      <c r="F1693" s="5">
        <v>3.35</v>
      </c>
      <c r="G1693" s="4">
        <f t="shared" si="108"/>
        <v>85.358000000000004</v>
      </c>
      <c r="H1693" s="1" t="s">
        <v>10</v>
      </c>
      <c r="I1693" s="9"/>
      <c r="J1693" s="46"/>
      <c r="K1693" s="31"/>
    </row>
    <row r="1694" spans="1:11">
      <c r="A1694" s="13"/>
      <c r="B1694" s="46"/>
      <c r="C1694" s="1">
        <v>1</v>
      </c>
      <c r="D1694" s="5">
        <f>1.8+5+5</f>
        <v>11.8</v>
      </c>
      <c r="E1694" s="1"/>
      <c r="F1694" s="5">
        <v>3.35</v>
      </c>
      <c r="G1694" s="4">
        <f t="shared" si="108"/>
        <v>39.53</v>
      </c>
      <c r="H1694" s="1" t="s">
        <v>10</v>
      </c>
      <c r="I1694" s="9"/>
      <c r="J1694" s="46"/>
      <c r="K1694" s="31"/>
    </row>
    <row r="1695" spans="1:11">
      <c r="A1695" s="13"/>
      <c r="B1695" s="46" t="s">
        <v>530</v>
      </c>
      <c r="C1695" s="1">
        <v>1</v>
      </c>
      <c r="D1695" s="5">
        <f>(2.328+1.5)*2</f>
        <v>7.6559999999999997</v>
      </c>
      <c r="E1695" s="1"/>
      <c r="F1695" s="5">
        <v>3.35</v>
      </c>
      <c r="G1695" s="4">
        <f t="shared" si="108"/>
        <v>25.647600000000001</v>
      </c>
      <c r="H1695" s="1" t="s">
        <v>10</v>
      </c>
      <c r="I1695" s="9"/>
      <c r="J1695" s="46"/>
      <c r="K1695" s="31"/>
    </row>
    <row r="1696" spans="1:11">
      <c r="A1696" s="13"/>
      <c r="B1696" s="46" t="s">
        <v>531</v>
      </c>
      <c r="C1696" s="1">
        <v>1</v>
      </c>
      <c r="D1696" s="5">
        <f>(2.328+1.5)*2</f>
        <v>7.6559999999999997</v>
      </c>
      <c r="E1696" s="1"/>
      <c r="F1696" s="5">
        <v>3.35</v>
      </c>
      <c r="G1696" s="4">
        <f t="shared" si="108"/>
        <v>25.647600000000001</v>
      </c>
      <c r="H1696" s="1" t="s">
        <v>10</v>
      </c>
      <c r="I1696" s="9"/>
      <c r="J1696" s="46"/>
      <c r="K1696" s="31"/>
    </row>
    <row r="1697" spans="1:11">
      <c r="A1697" s="13"/>
      <c r="B1697" s="46" t="s">
        <v>507</v>
      </c>
      <c r="C1697" s="1">
        <v>1</v>
      </c>
      <c r="D1697" s="5">
        <f>(5+3.155)*2</f>
        <v>16.309999999999999</v>
      </c>
      <c r="E1697" s="1"/>
      <c r="F1697" s="5">
        <v>3.35</v>
      </c>
      <c r="G1697" s="4">
        <f t="shared" si="108"/>
        <v>54.638500000000001</v>
      </c>
      <c r="H1697" s="1" t="s">
        <v>10</v>
      </c>
      <c r="I1697" s="9"/>
      <c r="J1697" s="46"/>
      <c r="K1697" s="31"/>
    </row>
    <row r="1698" spans="1:11">
      <c r="A1698" s="13"/>
      <c r="B1698" s="46" t="s">
        <v>508</v>
      </c>
      <c r="C1698" s="1">
        <v>1</v>
      </c>
      <c r="D1698" s="5">
        <f>(4.77+4.77)*2</f>
        <v>19.079999999999998</v>
      </c>
      <c r="E1698" s="1"/>
      <c r="F1698" s="5">
        <v>3.35</v>
      </c>
      <c r="G1698" s="4">
        <f t="shared" si="108"/>
        <v>63.917999999999999</v>
      </c>
      <c r="H1698" s="1" t="s">
        <v>10</v>
      </c>
      <c r="I1698" s="9"/>
      <c r="J1698" s="46"/>
      <c r="K1698" s="31"/>
    </row>
    <row r="1699" spans="1:11">
      <c r="A1699" s="13"/>
      <c r="B1699" s="46" t="s">
        <v>31</v>
      </c>
      <c r="C1699" s="1">
        <v>1</v>
      </c>
      <c r="D1699" s="5">
        <f>(4.225+2.555)*2</f>
        <v>13.559999999999999</v>
      </c>
      <c r="E1699" s="1"/>
      <c r="F1699" s="5">
        <v>3.35</v>
      </c>
      <c r="G1699" s="4">
        <f t="shared" si="108"/>
        <v>45.425999999999995</v>
      </c>
      <c r="H1699" s="1" t="s">
        <v>10</v>
      </c>
      <c r="I1699" s="9"/>
      <c r="J1699" s="46"/>
      <c r="K1699" s="31"/>
    </row>
    <row r="1700" spans="1:11">
      <c r="A1700" s="13"/>
      <c r="B1700" s="46" t="s">
        <v>504</v>
      </c>
      <c r="C1700" s="1">
        <v>1</v>
      </c>
      <c r="D1700" s="5">
        <f>(12.95+1.8)*2</f>
        <v>29.5</v>
      </c>
      <c r="E1700" s="1"/>
      <c r="F1700" s="5">
        <v>2.4500000000000002</v>
      </c>
      <c r="G1700" s="4">
        <f t="shared" si="108"/>
        <v>72.275000000000006</v>
      </c>
      <c r="H1700" s="1" t="s">
        <v>10</v>
      </c>
      <c r="I1700" s="9"/>
      <c r="J1700" s="46"/>
      <c r="K1700" s="31"/>
    </row>
    <row r="1701" spans="1:11">
      <c r="A1701" s="13"/>
      <c r="B1701" s="46"/>
      <c r="C1701" s="1">
        <v>1</v>
      </c>
      <c r="D1701" s="5">
        <f>(1.18+1.8)</f>
        <v>2.98</v>
      </c>
      <c r="E1701" s="1"/>
      <c r="F1701" s="5">
        <v>2.4500000000000002</v>
      </c>
      <c r="G1701" s="4">
        <f t="shared" si="108"/>
        <v>7.3010000000000002</v>
      </c>
      <c r="H1701" s="1" t="s">
        <v>10</v>
      </c>
      <c r="I1701" s="9"/>
      <c r="J1701" s="46"/>
      <c r="K1701" s="31"/>
    </row>
    <row r="1702" spans="1:11">
      <c r="A1702" s="13"/>
      <c r="B1702" s="46" t="s">
        <v>528</v>
      </c>
      <c r="C1702" s="1">
        <v>2</v>
      </c>
      <c r="D1702" s="5">
        <f>(0.975+1.5)*2</f>
        <v>4.95</v>
      </c>
      <c r="E1702" s="1"/>
      <c r="F1702" s="5">
        <v>2.4500000000000002</v>
      </c>
      <c r="G1702" s="4">
        <f t="shared" si="108"/>
        <v>24.255000000000003</v>
      </c>
      <c r="H1702" s="1" t="s">
        <v>10</v>
      </c>
      <c r="I1702" s="9"/>
      <c r="J1702" s="46"/>
      <c r="K1702" s="31"/>
    </row>
    <row r="1703" spans="1:11">
      <c r="A1703" s="13"/>
      <c r="B1703" s="46" t="s">
        <v>532</v>
      </c>
      <c r="C1703" s="1"/>
      <c r="D1703" s="5"/>
      <c r="E1703" s="1"/>
      <c r="F1703" s="5"/>
      <c r="G1703" s="4"/>
      <c r="H1703" s="1"/>
      <c r="I1703" s="9"/>
      <c r="J1703" s="46"/>
      <c r="K1703" s="31"/>
    </row>
    <row r="1704" spans="1:11">
      <c r="A1704" s="13"/>
      <c r="B1704" s="46" t="s">
        <v>460</v>
      </c>
      <c r="C1704" s="1">
        <v>4</v>
      </c>
      <c r="D1704" s="5">
        <v>1.35</v>
      </c>
      <c r="E1704" s="1"/>
      <c r="F1704" s="5">
        <v>2.4500000000000002</v>
      </c>
      <c r="G1704" s="4">
        <f>-C1704*D1704*F1704</f>
        <v>-13.230000000000002</v>
      </c>
      <c r="H1704" s="1" t="s">
        <v>10</v>
      </c>
      <c r="I1704" s="9"/>
      <c r="J1704" s="46"/>
      <c r="K1704" s="31"/>
    </row>
    <row r="1705" spans="1:11">
      <c r="A1705" s="13"/>
      <c r="B1705" s="46" t="s">
        <v>98</v>
      </c>
      <c r="C1705" s="1">
        <v>1</v>
      </c>
      <c r="D1705" s="5">
        <v>0.9</v>
      </c>
      <c r="E1705" s="1"/>
      <c r="F1705" s="5">
        <v>2.4500000000000002</v>
      </c>
      <c r="G1705" s="4">
        <f t="shared" ref="G1705:G1714" si="109">-C1705*D1705*F1705</f>
        <v>-2.2050000000000001</v>
      </c>
      <c r="H1705" s="1" t="s">
        <v>10</v>
      </c>
      <c r="I1705" s="9"/>
      <c r="J1705" s="46"/>
      <c r="K1705" s="31"/>
    </row>
    <row r="1706" spans="1:11">
      <c r="A1706" s="13"/>
      <c r="B1706" s="46" t="s">
        <v>100</v>
      </c>
      <c r="C1706" s="1">
        <v>4</v>
      </c>
      <c r="D1706" s="5">
        <v>1.8</v>
      </c>
      <c r="E1706" s="1"/>
      <c r="F1706" s="5">
        <v>1.5</v>
      </c>
      <c r="G1706" s="4">
        <f t="shared" si="109"/>
        <v>-10.8</v>
      </c>
      <c r="H1706" s="1" t="s">
        <v>10</v>
      </c>
      <c r="I1706" s="9"/>
      <c r="J1706" s="46"/>
      <c r="K1706" s="31"/>
    </row>
    <row r="1707" spans="1:11">
      <c r="A1707" s="13"/>
      <c r="B1707" s="46" t="s">
        <v>102</v>
      </c>
      <c r="C1707" s="1">
        <v>2</v>
      </c>
      <c r="D1707" s="5">
        <v>1.2</v>
      </c>
      <c r="E1707" s="1"/>
      <c r="F1707" s="5">
        <v>1.5</v>
      </c>
      <c r="G1707" s="4">
        <f t="shared" si="109"/>
        <v>-3.5999999999999996</v>
      </c>
      <c r="H1707" s="1" t="s">
        <v>10</v>
      </c>
      <c r="I1707" s="9"/>
      <c r="J1707" s="46"/>
      <c r="K1707" s="31"/>
    </row>
    <row r="1708" spans="1:11">
      <c r="A1708" s="13"/>
      <c r="B1708" s="46" t="s">
        <v>446</v>
      </c>
      <c r="C1708" s="1">
        <v>2</v>
      </c>
      <c r="D1708" s="5">
        <v>1.2</v>
      </c>
      <c r="E1708" s="1"/>
      <c r="F1708" s="5">
        <v>1.5</v>
      </c>
      <c r="G1708" s="4">
        <f t="shared" si="109"/>
        <v>-3.5999999999999996</v>
      </c>
      <c r="H1708" s="1" t="s">
        <v>10</v>
      </c>
      <c r="I1708" s="9"/>
      <c r="J1708" s="46"/>
      <c r="K1708" s="31"/>
    </row>
    <row r="1709" spans="1:11">
      <c r="A1709" s="13"/>
      <c r="B1709" s="46" t="s">
        <v>447</v>
      </c>
      <c r="C1709" s="1">
        <v>2</v>
      </c>
      <c r="D1709" s="5">
        <v>0.45</v>
      </c>
      <c r="E1709" s="1"/>
      <c r="F1709" s="5">
        <v>2.4500000000000002</v>
      </c>
      <c r="G1709" s="4">
        <f t="shared" si="109"/>
        <v>-2.2050000000000001</v>
      </c>
      <c r="H1709" s="1" t="s">
        <v>10</v>
      </c>
      <c r="I1709" s="9"/>
      <c r="J1709" s="46"/>
      <c r="K1709" s="31"/>
    </row>
    <row r="1710" spans="1:11">
      <c r="A1710" s="13"/>
      <c r="B1710" s="46" t="s">
        <v>103</v>
      </c>
      <c r="C1710" s="1">
        <v>16</v>
      </c>
      <c r="D1710" s="5">
        <v>1.8</v>
      </c>
      <c r="E1710" s="1"/>
      <c r="F1710" s="5">
        <v>0.75</v>
      </c>
      <c r="G1710" s="4">
        <f t="shared" si="109"/>
        <v>-21.6</v>
      </c>
      <c r="H1710" s="1" t="s">
        <v>10</v>
      </c>
      <c r="I1710" s="9"/>
      <c r="J1710" s="46"/>
      <c r="K1710" s="31"/>
    </row>
    <row r="1711" spans="1:11">
      <c r="A1711" s="13"/>
      <c r="B1711" s="46" t="s">
        <v>448</v>
      </c>
      <c r="C1711" s="1">
        <v>7</v>
      </c>
      <c r="D1711" s="5">
        <v>1.8</v>
      </c>
      <c r="E1711" s="1"/>
      <c r="F1711" s="5">
        <v>0.75</v>
      </c>
      <c r="G1711" s="4">
        <f t="shared" si="109"/>
        <v>-9.4499999999999993</v>
      </c>
      <c r="H1711" s="1" t="s">
        <v>10</v>
      </c>
      <c r="I1711" s="9"/>
      <c r="J1711" s="46"/>
      <c r="K1711" s="31"/>
    </row>
    <row r="1712" spans="1:11">
      <c r="A1712" s="13"/>
      <c r="B1712" s="46" t="s">
        <v>106</v>
      </c>
      <c r="C1712" s="1">
        <v>3</v>
      </c>
      <c r="D1712" s="5">
        <v>0.9</v>
      </c>
      <c r="E1712" s="1"/>
      <c r="F1712" s="5">
        <v>0.6</v>
      </c>
      <c r="G1712" s="4">
        <f t="shared" si="109"/>
        <v>-1.62</v>
      </c>
      <c r="H1712" s="1" t="s">
        <v>10</v>
      </c>
      <c r="I1712" s="9"/>
      <c r="J1712" s="46"/>
      <c r="K1712" s="31"/>
    </row>
    <row r="1713" spans="1:11">
      <c r="A1713" s="13"/>
      <c r="B1713" s="46" t="s">
        <v>107</v>
      </c>
      <c r="C1713" s="1">
        <v>5</v>
      </c>
      <c r="D1713" s="5">
        <v>0.75</v>
      </c>
      <c r="E1713" s="1"/>
      <c r="F1713" s="5">
        <v>0.6</v>
      </c>
      <c r="G1713" s="4">
        <f t="shared" si="109"/>
        <v>-2.25</v>
      </c>
      <c r="H1713" s="1" t="s">
        <v>10</v>
      </c>
      <c r="I1713" s="9"/>
      <c r="J1713" s="46"/>
      <c r="K1713" s="31"/>
    </row>
    <row r="1714" spans="1:11">
      <c r="A1714" s="13"/>
      <c r="B1714" s="46" t="s">
        <v>108</v>
      </c>
      <c r="C1714" s="1">
        <v>3</v>
      </c>
      <c r="D1714" s="5">
        <v>0.6</v>
      </c>
      <c r="E1714" s="1"/>
      <c r="F1714" s="5">
        <v>0.6</v>
      </c>
      <c r="G1714" s="4">
        <f t="shared" si="109"/>
        <v>-1.0799999999999998</v>
      </c>
      <c r="H1714" s="1" t="s">
        <v>10</v>
      </c>
      <c r="I1714" s="9"/>
      <c r="J1714" s="46"/>
      <c r="K1714" s="31"/>
    </row>
    <row r="1715" spans="1:11">
      <c r="A1715" s="13"/>
      <c r="B1715" s="46" t="s">
        <v>605</v>
      </c>
      <c r="C1715" s="1">
        <v>1</v>
      </c>
      <c r="D1715" s="5">
        <v>4.97</v>
      </c>
      <c r="E1715" s="2"/>
      <c r="F1715" s="5">
        <v>2.4500000000000002</v>
      </c>
      <c r="G1715" s="4">
        <f t="shared" ref="G1715:G1721" si="110">-C1715*D1715*F1715</f>
        <v>-12.176500000000001</v>
      </c>
      <c r="H1715" s="1" t="s">
        <v>10</v>
      </c>
      <c r="I1715" s="9"/>
      <c r="J1715" s="46"/>
      <c r="K1715" s="31"/>
    </row>
    <row r="1716" spans="1:11">
      <c r="A1716" s="13"/>
      <c r="C1716" s="1">
        <v>1</v>
      </c>
      <c r="D1716" s="5">
        <v>4.97</v>
      </c>
      <c r="E1716" s="2"/>
      <c r="F1716" s="5">
        <v>2.4500000000000002</v>
      </c>
      <c r="G1716" s="4">
        <f t="shared" si="110"/>
        <v>-12.176500000000001</v>
      </c>
      <c r="H1716" s="1" t="s">
        <v>10</v>
      </c>
      <c r="I1716" s="9"/>
      <c r="J1716" s="46"/>
      <c r="K1716" s="31"/>
    </row>
    <row r="1717" spans="1:11">
      <c r="A1717" s="13"/>
      <c r="C1717" s="1">
        <v>1</v>
      </c>
      <c r="D1717" s="5">
        <v>3.43</v>
      </c>
      <c r="E1717" s="2"/>
      <c r="F1717" s="5">
        <v>2.4500000000000002</v>
      </c>
      <c r="G1717" s="4">
        <f t="shared" si="110"/>
        <v>-8.4035000000000011</v>
      </c>
      <c r="H1717" s="1" t="s">
        <v>10</v>
      </c>
      <c r="I1717" s="9"/>
      <c r="J1717" s="46"/>
      <c r="K1717" s="31"/>
    </row>
    <row r="1718" spans="1:11">
      <c r="A1718" s="13"/>
      <c r="C1718" s="1">
        <v>1</v>
      </c>
      <c r="D1718" s="5">
        <v>1.35</v>
      </c>
      <c r="E1718" s="2"/>
      <c r="F1718" s="5">
        <v>2.4500000000000002</v>
      </c>
      <c r="G1718" s="4">
        <f t="shared" si="110"/>
        <v>-3.3075000000000006</v>
      </c>
      <c r="H1718" s="1" t="s">
        <v>10</v>
      </c>
      <c r="I1718" s="9"/>
      <c r="J1718" s="46"/>
      <c r="K1718" s="31"/>
    </row>
    <row r="1719" spans="1:11">
      <c r="A1719" s="13"/>
      <c r="C1719" s="1">
        <v>1</v>
      </c>
      <c r="D1719" s="5">
        <v>20.125</v>
      </c>
      <c r="E1719" s="2"/>
      <c r="F1719" s="5">
        <v>2.4500000000000002</v>
      </c>
      <c r="G1719" s="4">
        <f t="shared" si="110"/>
        <v>-49.306250000000006</v>
      </c>
      <c r="H1719" s="1" t="s">
        <v>10</v>
      </c>
      <c r="I1719" s="9"/>
      <c r="J1719" s="46"/>
      <c r="K1719" s="31"/>
    </row>
    <row r="1720" spans="1:11">
      <c r="A1720" s="13"/>
      <c r="C1720" s="1">
        <v>1</v>
      </c>
      <c r="D1720" s="5">
        <v>2.9</v>
      </c>
      <c r="E1720" s="2"/>
      <c r="F1720" s="5">
        <v>2.4500000000000002</v>
      </c>
      <c r="G1720" s="4">
        <f t="shared" si="110"/>
        <v>-7.1050000000000004</v>
      </c>
      <c r="H1720" s="1" t="s">
        <v>10</v>
      </c>
      <c r="I1720" s="9"/>
      <c r="J1720" s="46"/>
      <c r="K1720" s="31"/>
    </row>
    <row r="1721" spans="1:11">
      <c r="A1721" s="13"/>
      <c r="C1721" s="1">
        <v>1</v>
      </c>
      <c r="D1721" s="5">
        <v>9.77</v>
      </c>
      <c r="E1721" s="2"/>
      <c r="F1721" s="5">
        <v>2.4500000000000002</v>
      </c>
      <c r="G1721" s="4">
        <f t="shared" si="110"/>
        <v>-23.936500000000002</v>
      </c>
      <c r="H1721" s="1" t="s">
        <v>10</v>
      </c>
      <c r="I1721" s="9"/>
      <c r="J1721" s="46"/>
      <c r="K1721" s="31"/>
    </row>
    <row r="1722" spans="1:11">
      <c r="A1722" s="13"/>
      <c r="C1722" s="1">
        <v>1</v>
      </c>
      <c r="D1722" s="31"/>
      <c r="E1722" s="31"/>
      <c r="F1722" s="31"/>
      <c r="G1722" s="4">
        <f>-G1804</f>
        <v>-227.05200000000002</v>
      </c>
      <c r="H1722" s="1" t="s">
        <v>10</v>
      </c>
      <c r="I1722" s="9"/>
      <c r="J1722" s="46"/>
      <c r="K1722" s="31"/>
    </row>
    <row r="1723" spans="1:11">
      <c r="A1723" s="13"/>
      <c r="C1723" s="31"/>
      <c r="D1723" s="31"/>
      <c r="E1723" s="31"/>
      <c r="F1723" s="31"/>
      <c r="H1723" s="1"/>
      <c r="I1723" s="9"/>
      <c r="J1723" s="46"/>
      <c r="K1723" s="31"/>
    </row>
    <row r="1724" spans="1:11">
      <c r="A1724" s="13"/>
      <c r="B1724" s="9"/>
      <c r="C1724" s="1"/>
      <c r="D1724" s="5"/>
      <c r="E1724" s="5"/>
      <c r="F1724" s="34" t="s">
        <v>11</v>
      </c>
      <c r="G1724" s="53">
        <f>SUM(G1670:G1723)</f>
        <v>1136.2522000000004</v>
      </c>
      <c r="H1724" s="50" t="s">
        <v>17</v>
      </c>
      <c r="I1724" s="9"/>
      <c r="J1724" s="46"/>
      <c r="K1724" s="31"/>
    </row>
    <row r="1725" spans="1:11">
      <c r="A1725" s="13"/>
      <c r="B1725" s="9"/>
      <c r="C1725" s="1"/>
      <c r="D1725" s="1"/>
      <c r="E1725" s="1"/>
      <c r="F1725" s="56" t="s">
        <v>13</v>
      </c>
      <c r="G1725" s="27">
        <f>ROUNDUP(G1724,0)</f>
        <v>1137</v>
      </c>
      <c r="H1725" s="28" t="s">
        <v>17</v>
      </c>
      <c r="I1725" s="9"/>
      <c r="J1725" s="46"/>
      <c r="K1725" s="31"/>
    </row>
    <row r="1726" spans="1:11">
      <c r="A1726" s="13"/>
      <c r="B1726" s="9"/>
      <c r="C1726" s="1"/>
      <c r="D1726" s="1"/>
      <c r="E1726" s="1"/>
      <c r="F1726" s="1"/>
      <c r="G1726" s="33"/>
      <c r="H1726" s="24"/>
      <c r="I1726" s="9"/>
      <c r="J1726" s="46"/>
      <c r="K1726" s="31"/>
    </row>
    <row r="1727" spans="1:11">
      <c r="A1727" s="13"/>
      <c r="B1727" s="15" t="s">
        <v>57</v>
      </c>
      <c r="I1727" s="9"/>
      <c r="J1727" s="46"/>
      <c r="K1727" s="31"/>
    </row>
    <row r="1728" spans="1:11">
      <c r="A1728" s="13"/>
      <c r="B1728" s="46" t="s">
        <v>501</v>
      </c>
      <c r="C1728" s="1">
        <v>1</v>
      </c>
      <c r="D1728" s="5">
        <f>(3.155+5.23)*2</f>
        <v>16.77</v>
      </c>
      <c r="E1728" s="1"/>
      <c r="F1728" s="5">
        <v>3.35</v>
      </c>
      <c r="G1728" s="4">
        <f>C1728*D1728*F1728</f>
        <v>56.179499999999997</v>
      </c>
      <c r="H1728" s="1" t="s">
        <v>17</v>
      </c>
      <c r="I1728" s="9"/>
      <c r="J1728" s="46"/>
      <c r="K1728" s="31"/>
    </row>
    <row r="1729" spans="1:11">
      <c r="A1729" s="13"/>
      <c r="B1729" s="46" t="s">
        <v>31</v>
      </c>
      <c r="C1729" s="1">
        <v>1</v>
      </c>
      <c r="D1729" s="5">
        <f>(2.5+1.58)*2</f>
        <v>8.16</v>
      </c>
      <c r="E1729" s="1"/>
      <c r="F1729" s="5">
        <v>3.35</v>
      </c>
      <c r="G1729" s="4">
        <f t="shared" ref="G1729:G1748" si="111">C1729*D1729*F1729</f>
        <v>27.336000000000002</v>
      </c>
      <c r="H1729" s="1" t="s">
        <v>10</v>
      </c>
      <c r="I1729" s="9"/>
      <c r="J1729" s="46"/>
      <c r="K1729" s="31"/>
    </row>
    <row r="1730" spans="1:11">
      <c r="A1730" s="13"/>
      <c r="B1730" s="46"/>
      <c r="C1730" s="1">
        <v>1</v>
      </c>
      <c r="D1730" s="5">
        <f>(1.5+1.41)</f>
        <v>2.91</v>
      </c>
      <c r="E1730" s="1"/>
      <c r="F1730" s="5">
        <v>3.35</v>
      </c>
      <c r="G1730" s="4">
        <f t="shared" si="111"/>
        <v>9.7484999999999999</v>
      </c>
      <c r="H1730" s="1" t="s">
        <v>10</v>
      </c>
      <c r="I1730" s="9"/>
      <c r="J1730" s="46"/>
      <c r="K1730" s="31"/>
    </row>
    <row r="1731" spans="1:11">
      <c r="A1731" s="13"/>
      <c r="B1731" s="46" t="s">
        <v>503</v>
      </c>
      <c r="C1731" s="1">
        <v>1</v>
      </c>
      <c r="D1731" s="5">
        <f>(4.885+4.215)*2</f>
        <v>18.2</v>
      </c>
      <c r="E1731" s="1"/>
      <c r="F1731" s="5">
        <v>3.35</v>
      </c>
      <c r="G1731" s="4">
        <f t="shared" si="111"/>
        <v>60.97</v>
      </c>
      <c r="H1731" s="1" t="s">
        <v>10</v>
      </c>
      <c r="I1731" s="9"/>
      <c r="J1731" s="46"/>
      <c r="K1731" s="31"/>
    </row>
    <row r="1732" spans="1:11">
      <c r="A1732" s="13"/>
      <c r="B1732" s="46"/>
      <c r="C1732" s="1">
        <v>1</v>
      </c>
      <c r="D1732" s="5">
        <f>(2.29+2.515)*2</f>
        <v>9.61</v>
      </c>
      <c r="E1732" s="1"/>
      <c r="F1732" s="5">
        <v>3.35</v>
      </c>
      <c r="G1732" s="4">
        <f t="shared" si="111"/>
        <v>32.1935</v>
      </c>
      <c r="H1732" s="1" t="s">
        <v>10</v>
      </c>
      <c r="I1732" s="9"/>
      <c r="J1732" s="46"/>
      <c r="K1732" s="31"/>
    </row>
    <row r="1733" spans="1:11">
      <c r="A1733" s="13"/>
      <c r="B1733" s="46" t="s">
        <v>504</v>
      </c>
      <c r="C1733" s="1">
        <v>1</v>
      </c>
      <c r="D1733" s="5">
        <f>(2.48+1.35)*2</f>
        <v>7.66</v>
      </c>
      <c r="E1733" s="1"/>
      <c r="F1733" s="5">
        <v>3.35</v>
      </c>
      <c r="G1733" s="4">
        <f t="shared" si="111"/>
        <v>25.661000000000001</v>
      </c>
      <c r="H1733" s="1" t="s">
        <v>10</v>
      </c>
      <c r="I1733" s="9"/>
      <c r="J1733" s="46"/>
      <c r="K1733" s="31"/>
    </row>
    <row r="1734" spans="1:11">
      <c r="A1734" s="13"/>
      <c r="B1734" s="46" t="s">
        <v>528</v>
      </c>
      <c r="C1734" s="1">
        <v>1</v>
      </c>
      <c r="D1734" s="5">
        <f>(2.48+1.05)*2</f>
        <v>7.0600000000000005</v>
      </c>
      <c r="E1734" s="1"/>
      <c r="F1734" s="5">
        <v>3.35</v>
      </c>
      <c r="G1734" s="4">
        <f t="shared" si="111"/>
        <v>23.651000000000003</v>
      </c>
      <c r="H1734" s="1" t="s">
        <v>10</v>
      </c>
      <c r="I1734" s="9"/>
      <c r="J1734" s="46"/>
      <c r="K1734" s="31"/>
    </row>
    <row r="1735" spans="1:11">
      <c r="A1735" s="13"/>
      <c r="B1735" s="46" t="s">
        <v>533</v>
      </c>
      <c r="C1735" s="1">
        <v>1</v>
      </c>
      <c r="D1735" s="5">
        <f>(6.12+2.9)*2</f>
        <v>18.04</v>
      </c>
      <c r="E1735" s="1"/>
      <c r="F1735" s="5">
        <v>3.35</v>
      </c>
      <c r="G1735" s="4">
        <f t="shared" si="111"/>
        <v>60.433999999999997</v>
      </c>
      <c r="H1735" s="1" t="s">
        <v>10</v>
      </c>
      <c r="I1735" s="9"/>
      <c r="J1735" s="46"/>
      <c r="K1735" s="31"/>
    </row>
    <row r="1736" spans="1:11">
      <c r="A1736" s="13"/>
      <c r="B1736" s="46" t="s">
        <v>136</v>
      </c>
      <c r="C1736" s="1">
        <v>1</v>
      </c>
      <c r="D1736" s="5">
        <f>(4.77+4.63)*2</f>
        <v>18.799999999999997</v>
      </c>
      <c r="E1736" s="1"/>
      <c r="F1736" s="5">
        <v>3.85</v>
      </c>
      <c r="G1736" s="4">
        <f t="shared" si="111"/>
        <v>72.38</v>
      </c>
      <c r="H1736" s="1" t="s">
        <v>10</v>
      </c>
      <c r="I1736" s="9"/>
      <c r="J1736" s="46"/>
      <c r="K1736" s="31"/>
    </row>
    <row r="1737" spans="1:11">
      <c r="A1737" s="13"/>
      <c r="B1737" s="46" t="s">
        <v>509</v>
      </c>
      <c r="C1737" s="1">
        <v>1</v>
      </c>
      <c r="D1737" s="5">
        <f>(7.855+4.855)*2</f>
        <v>25.42</v>
      </c>
      <c r="E1737" s="1"/>
      <c r="F1737" s="5">
        <v>3.85</v>
      </c>
      <c r="G1737" s="4">
        <f t="shared" si="111"/>
        <v>97.867000000000004</v>
      </c>
      <c r="H1737" s="1" t="s">
        <v>10</v>
      </c>
      <c r="I1737" s="9"/>
      <c r="J1737" s="46"/>
      <c r="K1737" s="31"/>
    </row>
    <row r="1738" spans="1:11">
      <c r="A1738" s="13"/>
      <c r="B1738" s="46"/>
      <c r="C1738" s="1">
        <v>1</v>
      </c>
      <c r="D1738" s="5">
        <f>(4.885*7.855)</f>
        <v>38.371675000000003</v>
      </c>
      <c r="E1738" s="1"/>
      <c r="F1738" s="5">
        <v>3.85</v>
      </c>
      <c r="G1738" s="4">
        <f t="shared" si="111"/>
        <v>147.73094875000001</v>
      </c>
      <c r="H1738" s="1" t="s">
        <v>10</v>
      </c>
      <c r="I1738" s="9"/>
      <c r="J1738" s="46"/>
      <c r="K1738" s="31"/>
    </row>
    <row r="1739" spans="1:11">
      <c r="A1739" s="13"/>
      <c r="B1739" s="46" t="s">
        <v>31</v>
      </c>
      <c r="C1739" s="1">
        <v>1</v>
      </c>
      <c r="D1739" s="5">
        <f>(4.7+4.7)*2</f>
        <v>18.8</v>
      </c>
      <c r="E1739" s="1"/>
      <c r="F1739" s="5">
        <v>3.85</v>
      </c>
      <c r="G1739" s="4">
        <f t="shared" si="111"/>
        <v>72.38000000000001</v>
      </c>
      <c r="H1739" s="1" t="s">
        <v>10</v>
      </c>
      <c r="I1739" s="9"/>
      <c r="J1739" s="46"/>
      <c r="K1739" s="31"/>
    </row>
    <row r="1740" spans="1:11">
      <c r="A1740" s="13"/>
      <c r="B1740" s="46"/>
      <c r="C1740" s="1">
        <v>2</v>
      </c>
      <c r="D1740" s="5">
        <v>1.4350000000000001</v>
      </c>
      <c r="E1740" s="1"/>
      <c r="F1740" s="5">
        <v>3.85</v>
      </c>
      <c r="G1740" s="4">
        <f t="shared" si="111"/>
        <v>11.0495</v>
      </c>
      <c r="H1740" s="1" t="s">
        <v>10</v>
      </c>
      <c r="I1740" s="9"/>
      <c r="J1740" s="46"/>
      <c r="K1740" s="31"/>
    </row>
    <row r="1741" spans="1:11">
      <c r="A1741" s="13"/>
      <c r="B1741" s="46" t="s">
        <v>504</v>
      </c>
      <c r="C1741" s="1">
        <v>1</v>
      </c>
      <c r="D1741" s="5">
        <f>(1.295+1.8)*2</f>
        <v>6.1899999999999995</v>
      </c>
      <c r="E1741" s="1"/>
      <c r="F1741" s="5">
        <v>2.4500000000000002</v>
      </c>
      <c r="G1741" s="4">
        <f t="shared" si="111"/>
        <v>15.1655</v>
      </c>
      <c r="H1741" s="1" t="s">
        <v>10</v>
      </c>
      <c r="I1741" s="9"/>
      <c r="J1741" s="46"/>
      <c r="K1741" s="31"/>
    </row>
    <row r="1742" spans="1:11">
      <c r="A1742" s="13"/>
      <c r="B1742" s="46" t="s">
        <v>504</v>
      </c>
      <c r="C1742" s="1">
        <v>1</v>
      </c>
      <c r="D1742" s="5">
        <f>(1.18+1.8)*2</f>
        <v>5.96</v>
      </c>
      <c r="E1742" s="1"/>
      <c r="F1742" s="5">
        <v>2.4500000000000002</v>
      </c>
      <c r="G1742" s="4">
        <f t="shared" si="111"/>
        <v>14.602</v>
      </c>
      <c r="H1742" s="1" t="s">
        <v>10</v>
      </c>
      <c r="I1742" s="9"/>
      <c r="J1742" s="46"/>
      <c r="K1742" s="31"/>
    </row>
    <row r="1743" spans="1:11">
      <c r="A1743" s="13"/>
      <c r="B1743" s="46" t="s">
        <v>528</v>
      </c>
      <c r="C1743" s="1">
        <v>2</v>
      </c>
      <c r="D1743" s="5">
        <f>(0.975+1.5)*2</f>
        <v>4.95</v>
      </c>
      <c r="E1743" s="1"/>
      <c r="F1743" s="5">
        <v>2.4500000000000002</v>
      </c>
      <c r="G1743" s="4">
        <f t="shared" si="111"/>
        <v>24.255000000000003</v>
      </c>
      <c r="H1743" s="1" t="s">
        <v>10</v>
      </c>
      <c r="I1743" s="9"/>
      <c r="J1743" s="46"/>
      <c r="K1743" s="31"/>
    </row>
    <row r="1744" spans="1:11">
      <c r="A1744" s="13"/>
      <c r="B1744" s="46" t="s">
        <v>31</v>
      </c>
      <c r="C1744" s="1">
        <v>1</v>
      </c>
      <c r="D1744" s="5">
        <f>(4.885+4.17)*2</f>
        <v>18.11</v>
      </c>
      <c r="E1744" s="1"/>
      <c r="F1744" s="5">
        <v>2.4500000000000002</v>
      </c>
      <c r="G1744" s="4">
        <f t="shared" si="111"/>
        <v>44.369500000000002</v>
      </c>
      <c r="H1744" s="1" t="s">
        <v>10</v>
      </c>
      <c r="I1744" s="9"/>
      <c r="J1744" s="46"/>
      <c r="K1744" s="31"/>
    </row>
    <row r="1745" spans="1:11">
      <c r="A1745" s="13"/>
      <c r="B1745" s="46" t="s">
        <v>504</v>
      </c>
      <c r="C1745" s="1">
        <v>1</v>
      </c>
      <c r="D1745" s="5">
        <f>(1.295+1.8)*2</f>
        <v>6.1899999999999995</v>
      </c>
      <c r="E1745" s="1"/>
      <c r="F1745" s="5">
        <v>2.4500000000000002</v>
      </c>
      <c r="G1745" s="4">
        <f t="shared" si="111"/>
        <v>15.1655</v>
      </c>
      <c r="H1745" s="1" t="s">
        <v>10</v>
      </c>
      <c r="I1745" s="9"/>
      <c r="J1745" s="46"/>
      <c r="K1745" s="31"/>
    </row>
    <row r="1746" spans="1:11">
      <c r="A1746" s="13"/>
      <c r="B1746" s="46" t="s">
        <v>504</v>
      </c>
      <c r="C1746" s="1">
        <v>1</v>
      </c>
      <c r="D1746" s="5">
        <f>1.8*4</f>
        <v>7.2</v>
      </c>
      <c r="E1746" s="1"/>
      <c r="F1746" s="5">
        <v>2.4500000000000002</v>
      </c>
      <c r="G1746" s="4">
        <f t="shared" si="111"/>
        <v>17.64</v>
      </c>
      <c r="H1746" s="1" t="s">
        <v>10</v>
      </c>
      <c r="I1746" s="9"/>
      <c r="J1746" s="46"/>
      <c r="K1746" s="31"/>
    </row>
    <row r="1747" spans="1:11">
      <c r="A1747" s="13"/>
      <c r="B1747" s="46" t="s">
        <v>528</v>
      </c>
      <c r="C1747" s="1">
        <v>2</v>
      </c>
      <c r="D1747" s="5">
        <f>(0.975+1.5)*2</f>
        <v>4.95</v>
      </c>
      <c r="E1747" s="1"/>
      <c r="F1747" s="5">
        <v>2.4500000000000002</v>
      </c>
      <c r="G1747" s="4">
        <f t="shared" si="111"/>
        <v>24.255000000000003</v>
      </c>
      <c r="H1747" s="1" t="s">
        <v>10</v>
      </c>
      <c r="I1747" s="9"/>
      <c r="J1747" s="46"/>
      <c r="K1747" s="31"/>
    </row>
    <row r="1748" spans="1:11">
      <c r="A1748" s="13"/>
      <c r="B1748" s="46" t="s">
        <v>462</v>
      </c>
      <c r="C1748" s="1">
        <v>1</v>
      </c>
      <c r="D1748" s="5">
        <f>(6.505+3.36)</f>
        <v>9.8650000000000002</v>
      </c>
      <c r="E1748" s="1"/>
      <c r="F1748" s="5">
        <v>2.4500000000000002</v>
      </c>
      <c r="G1748" s="4">
        <f t="shared" si="111"/>
        <v>24.169250000000002</v>
      </c>
      <c r="H1748" s="1" t="s">
        <v>10</v>
      </c>
      <c r="I1748" s="9"/>
      <c r="J1748" s="46"/>
      <c r="K1748" s="31"/>
    </row>
    <row r="1749" spans="1:11">
      <c r="A1749" s="13"/>
      <c r="B1749" s="46" t="s">
        <v>532</v>
      </c>
      <c r="C1749" s="1"/>
      <c r="D1749" s="5"/>
      <c r="E1749" s="5"/>
      <c r="F1749" s="5"/>
      <c r="G1749" s="4"/>
      <c r="H1749" s="1"/>
      <c r="I1749" s="9"/>
      <c r="J1749" s="46"/>
      <c r="K1749" s="31"/>
    </row>
    <row r="1750" spans="1:11">
      <c r="A1750" s="13"/>
      <c r="B1750" s="46" t="s">
        <v>460</v>
      </c>
      <c r="C1750" s="1">
        <v>5</v>
      </c>
      <c r="D1750" s="5">
        <v>1.35</v>
      </c>
      <c r="E1750" s="1"/>
      <c r="F1750" s="5">
        <v>2.4500000000000002</v>
      </c>
      <c r="G1750" s="4">
        <f>-C1750*D1750*F1750</f>
        <v>-16.537500000000001</v>
      </c>
      <c r="H1750" s="1" t="s">
        <v>10</v>
      </c>
      <c r="I1750" s="9"/>
      <c r="J1750" s="46"/>
      <c r="K1750" s="31"/>
    </row>
    <row r="1751" spans="1:11">
      <c r="A1751" s="13"/>
      <c r="B1751" s="46" t="s">
        <v>97</v>
      </c>
      <c r="C1751" s="1">
        <v>2</v>
      </c>
      <c r="D1751" s="5">
        <v>1.05</v>
      </c>
      <c r="E1751" s="1"/>
      <c r="F1751" s="5">
        <v>2.4500000000000002</v>
      </c>
      <c r="G1751" s="4">
        <f>-C1751*D1751*F1751</f>
        <v>-5.1450000000000005</v>
      </c>
      <c r="H1751" s="1" t="s">
        <v>10</v>
      </c>
      <c r="I1751" s="9"/>
      <c r="J1751" s="46"/>
      <c r="K1751" s="31"/>
    </row>
    <row r="1752" spans="1:11">
      <c r="A1752" s="13"/>
      <c r="B1752" s="46" t="s">
        <v>100</v>
      </c>
      <c r="C1752" s="1">
        <v>6</v>
      </c>
      <c r="D1752" s="5">
        <v>1.8</v>
      </c>
      <c r="E1752" s="1"/>
      <c r="F1752" s="5">
        <v>1.5</v>
      </c>
      <c r="G1752" s="4">
        <f>-C1752*D1752*F1752</f>
        <v>-16.200000000000003</v>
      </c>
      <c r="H1752" s="1" t="s">
        <v>10</v>
      </c>
      <c r="I1752" s="9"/>
      <c r="J1752" s="46"/>
      <c r="K1752" s="31"/>
    </row>
    <row r="1753" spans="1:11">
      <c r="A1753" s="13"/>
      <c r="B1753" s="46" t="s">
        <v>107</v>
      </c>
      <c r="C1753" s="1">
        <v>7</v>
      </c>
      <c r="D1753" s="5">
        <v>0.6</v>
      </c>
      <c r="E1753" s="1"/>
      <c r="F1753" s="5">
        <v>1.5</v>
      </c>
      <c r="G1753" s="4">
        <f>-C1753*D1753*F1753</f>
        <v>-6.3000000000000007</v>
      </c>
      <c r="H1753" s="1" t="s">
        <v>10</v>
      </c>
      <c r="I1753" s="9"/>
      <c r="J1753" s="46"/>
      <c r="K1753" s="31"/>
    </row>
    <row r="1754" spans="1:11">
      <c r="A1754" s="13"/>
      <c r="B1754" s="46" t="s">
        <v>108</v>
      </c>
      <c r="C1754" s="1">
        <v>4</v>
      </c>
      <c r="D1754" s="5">
        <v>0.6</v>
      </c>
      <c r="E1754" s="1"/>
      <c r="F1754" s="5">
        <v>0.6</v>
      </c>
      <c r="G1754" s="4">
        <f>-C1754*D1754*F1754</f>
        <v>-1.44</v>
      </c>
      <c r="H1754" s="1" t="s">
        <v>10</v>
      </c>
      <c r="I1754" s="9"/>
      <c r="J1754" s="46"/>
      <c r="K1754" s="31"/>
    </row>
    <row r="1755" spans="1:11">
      <c r="A1755" s="13"/>
      <c r="B1755" s="46" t="s">
        <v>605</v>
      </c>
      <c r="C1755" s="1">
        <v>1</v>
      </c>
      <c r="D1755" s="5">
        <v>20.125</v>
      </c>
      <c r="E1755" s="5"/>
      <c r="F1755" s="5">
        <v>1.65</v>
      </c>
      <c r="G1755" s="4">
        <f>C1755*D1755*F1755</f>
        <v>33.206249999999997</v>
      </c>
      <c r="H1755" s="1" t="s">
        <v>10</v>
      </c>
      <c r="I1755" s="9"/>
      <c r="J1755" s="46"/>
      <c r="K1755" s="31"/>
    </row>
    <row r="1756" spans="1:11">
      <c r="A1756" s="13"/>
      <c r="B1756" s="46"/>
      <c r="C1756" s="1">
        <v>1</v>
      </c>
      <c r="D1756" s="5">
        <v>2.9</v>
      </c>
      <c r="E1756" s="5"/>
      <c r="F1756" s="5">
        <v>1.65</v>
      </c>
      <c r="G1756" s="4">
        <f>C1756*D1756*F1756</f>
        <v>4.7849999999999993</v>
      </c>
      <c r="H1756" s="1" t="s">
        <v>10</v>
      </c>
      <c r="I1756" s="9"/>
      <c r="J1756" s="46"/>
      <c r="K1756" s="31"/>
    </row>
    <row r="1757" spans="1:11">
      <c r="A1757" s="13"/>
      <c r="B1757" s="46"/>
      <c r="C1757" s="1">
        <v>1</v>
      </c>
      <c r="D1757" s="5">
        <v>9.77</v>
      </c>
      <c r="E1757" s="5"/>
      <c r="F1757" s="5">
        <v>3.45</v>
      </c>
      <c r="G1757" s="4">
        <f>C1757*D1757*F1757</f>
        <v>33.706499999999998</v>
      </c>
      <c r="H1757" s="1" t="s">
        <v>10</v>
      </c>
      <c r="I1757" s="9"/>
      <c r="J1757" s="46"/>
      <c r="K1757" s="31"/>
    </row>
    <row r="1758" spans="1:11">
      <c r="A1758" s="13"/>
      <c r="B1758" s="46"/>
      <c r="C1758" s="1">
        <v>1</v>
      </c>
      <c r="D1758" s="5"/>
      <c r="E1758" s="1"/>
      <c r="F1758" s="5"/>
      <c r="G1758" s="4">
        <f>-G1818</f>
        <v>-147.483</v>
      </c>
      <c r="H1758" s="1" t="s">
        <v>10</v>
      </c>
      <c r="I1758" s="9"/>
      <c r="J1758" s="46"/>
      <c r="K1758" s="31"/>
    </row>
    <row r="1759" spans="1:11">
      <c r="A1759" s="13"/>
      <c r="B1759" s="46"/>
      <c r="C1759" s="1"/>
      <c r="D1759" s="5"/>
      <c r="E1759" s="1"/>
      <c r="F1759" s="5"/>
      <c r="G1759" s="4"/>
      <c r="H1759" s="1"/>
      <c r="I1759" s="9"/>
      <c r="J1759" s="46"/>
      <c r="K1759" s="31"/>
    </row>
    <row r="1760" spans="1:11">
      <c r="A1760" s="13"/>
      <c r="B1760" s="9"/>
      <c r="C1760" s="1"/>
      <c r="D1760" s="5"/>
      <c r="E1760" s="5"/>
      <c r="F1760" s="34" t="s">
        <v>11</v>
      </c>
      <c r="G1760" s="53">
        <f>SUM(G1728:G1759)</f>
        <v>755.79494874999978</v>
      </c>
      <c r="H1760" s="50" t="s">
        <v>17</v>
      </c>
      <c r="I1760" s="9"/>
      <c r="J1760" s="46"/>
      <c r="K1760" s="31"/>
    </row>
    <row r="1761" spans="1:11">
      <c r="A1761" s="13"/>
      <c r="B1761" s="9"/>
      <c r="C1761" s="1"/>
      <c r="D1761" s="1"/>
      <c r="E1761" s="1"/>
      <c r="F1761" s="56" t="s">
        <v>13</v>
      </c>
      <c r="G1761" s="27">
        <f>ROUNDUP(G1760,0)</f>
        <v>756</v>
      </c>
      <c r="H1761" s="28" t="s">
        <v>17</v>
      </c>
      <c r="I1761" s="9"/>
      <c r="J1761" s="46"/>
      <c r="K1761" s="31"/>
    </row>
    <row r="1762" spans="1:11">
      <c r="A1762" s="13"/>
      <c r="B1762" s="9"/>
      <c r="C1762" s="1"/>
      <c r="D1762" s="1"/>
      <c r="E1762" s="1"/>
      <c r="F1762" s="1"/>
      <c r="G1762" s="33"/>
      <c r="H1762" s="24"/>
      <c r="I1762" s="9"/>
      <c r="J1762" s="46"/>
      <c r="K1762" s="5"/>
    </row>
    <row r="1763" spans="1:11">
      <c r="A1763" s="13"/>
      <c r="B1763" s="9"/>
      <c r="C1763" s="1"/>
      <c r="D1763" s="1"/>
      <c r="E1763" s="1"/>
      <c r="F1763" s="1"/>
      <c r="G1763" s="33"/>
      <c r="H1763" s="24"/>
      <c r="I1763" s="9"/>
      <c r="J1763" s="46"/>
      <c r="K1763" s="5"/>
    </row>
    <row r="1764" spans="1:11">
      <c r="A1764" s="18">
        <f>A1606+1</f>
        <v>50</v>
      </c>
      <c r="B1764" s="9" t="s">
        <v>558</v>
      </c>
      <c r="C1764" s="1"/>
      <c r="D1764" s="1"/>
      <c r="E1764" s="1"/>
      <c r="F1764" s="1"/>
      <c r="G1764" s="33"/>
      <c r="H1764" s="24"/>
      <c r="I1764" s="9"/>
      <c r="J1764" s="46"/>
      <c r="K1764" s="5"/>
    </row>
    <row r="1765" spans="1:11">
      <c r="A1765" s="18"/>
      <c r="B1765" s="15" t="s">
        <v>56</v>
      </c>
      <c r="C1765" s="1"/>
      <c r="D1765" s="1"/>
      <c r="E1765" s="1"/>
      <c r="F1765" s="1"/>
      <c r="G1765" s="33"/>
      <c r="H1765" s="24"/>
      <c r="I1765" s="9"/>
      <c r="J1765" s="46"/>
      <c r="K1765" s="5"/>
    </row>
    <row r="1766" spans="1:11">
      <c r="A1766" s="18"/>
      <c r="B1766" s="46" t="s">
        <v>74</v>
      </c>
      <c r="C1766" s="1"/>
      <c r="D1766" s="5"/>
      <c r="E1766" s="5"/>
      <c r="F1766" s="1"/>
      <c r="G1766" s="33"/>
      <c r="H1766" s="24"/>
      <c r="I1766" s="9"/>
      <c r="J1766" s="46"/>
      <c r="K1766" s="5"/>
    </row>
    <row r="1767" spans="1:11">
      <c r="A1767" s="18"/>
      <c r="B1767" s="46" t="s">
        <v>465</v>
      </c>
      <c r="C1767" s="1">
        <v>1</v>
      </c>
      <c r="D1767" s="5">
        <f>(25.77+4.695+4.695)</f>
        <v>35.159999999999997</v>
      </c>
      <c r="E1767" s="1"/>
      <c r="F1767" s="5">
        <v>2.1</v>
      </c>
      <c r="G1767" s="4">
        <f>C1767*D1767*F1767</f>
        <v>73.835999999999999</v>
      </c>
      <c r="H1767" s="1" t="s">
        <v>17</v>
      </c>
      <c r="I1767" s="9"/>
      <c r="J1767" s="46"/>
      <c r="K1767" s="5"/>
    </row>
    <row r="1768" spans="1:11">
      <c r="A1768" s="18"/>
      <c r="B1768" s="46"/>
      <c r="C1768" s="1">
        <v>1</v>
      </c>
      <c r="D1768" s="5">
        <v>25.77</v>
      </c>
      <c r="E1768" s="1"/>
      <c r="F1768" s="5">
        <v>1.35</v>
      </c>
      <c r="G1768" s="4">
        <f t="shared" ref="G1768:G1782" si="112">C1768*D1768*F1768</f>
        <v>34.789500000000004</v>
      </c>
      <c r="H1768" s="1" t="s">
        <v>10</v>
      </c>
      <c r="I1768" s="9"/>
      <c r="J1768" s="46"/>
      <c r="K1768" s="5"/>
    </row>
    <row r="1769" spans="1:11">
      <c r="A1769" s="18"/>
      <c r="B1769" s="46" t="s">
        <v>464</v>
      </c>
      <c r="C1769" s="1">
        <v>1</v>
      </c>
      <c r="D1769" s="5">
        <f>25.925+5.075</f>
        <v>31</v>
      </c>
      <c r="E1769" s="1"/>
      <c r="F1769" s="5">
        <v>2.1</v>
      </c>
      <c r="G1769" s="4">
        <f t="shared" si="112"/>
        <v>65.100000000000009</v>
      </c>
      <c r="H1769" s="1" t="s">
        <v>10</v>
      </c>
      <c r="I1769" s="9"/>
      <c r="J1769" s="46"/>
      <c r="K1769" s="5"/>
    </row>
    <row r="1770" spans="1:11">
      <c r="A1770" s="18"/>
      <c r="B1770" s="46" t="s">
        <v>540</v>
      </c>
      <c r="C1770" s="1">
        <v>1</v>
      </c>
      <c r="D1770" s="5">
        <f>2.575+2.575+4.77</f>
        <v>9.92</v>
      </c>
      <c r="E1770" s="1"/>
      <c r="F1770" s="5">
        <v>2.1</v>
      </c>
      <c r="G1770" s="4">
        <f t="shared" si="112"/>
        <v>20.832000000000001</v>
      </c>
      <c r="H1770" s="1" t="s">
        <v>10</v>
      </c>
      <c r="I1770" s="9"/>
      <c r="J1770" s="46"/>
      <c r="K1770" s="5"/>
    </row>
    <row r="1771" spans="1:11">
      <c r="A1771" s="18"/>
      <c r="B1771" s="46" t="s">
        <v>475</v>
      </c>
      <c r="C1771" s="1">
        <v>1</v>
      </c>
      <c r="D1771" s="5">
        <f>2.77+2.575+2.77</f>
        <v>8.1150000000000002</v>
      </c>
      <c r="E1771" s="1"/>
      <c r="F1771" s="5">
        <v>2.1</v>
      </c>
      <c r="G1771" s="4">
        <f t="shared" si="112"/>
        <v>17.041500000000003</v>
      </c>
      <c r="H1771" s="1" t="s">
        <v>10</v>
      </c>
      <c r="I1771" s="9"/>
      <c r="J1771" s="46"/>
      <c r="K1771" s="5"/>
    </row>
    <row r="1772" spans="1:11">
      <c r="A1772" s="18"/>
      <c r="B1772" s="46" t="s">
        <v>467</v>
      </c>
      <c r="C1772" s="1">
        <v>1</v>
      </c>
      <c r="D1772" s="5">
        <f>4.695+8.27+5</f>
        <v>17.965</v>
      </c>
      <c r="E1772" s="1"/>
      <c r="F1772" s="5">
        <v>2.1</v>
      </c>
      <c r="G1772" s="4">
        <f t="shared" si="112"/>
        <v>37.726500000000001</v>
      </c>
      <c r="H1772" s="1" t="s">
        <v>10</v>
      </c>
      <c r="I1772" s="9"/>
      <c r="J1772" s="46"/>
      <c r="K1772" s="5"/>
    </row>
    <row r="1773" spans="1:11">
      <c r="A1773" s="18"/>
      <c r="B1773" s="46" t="s">
        <v>536</v>
      </c>
      <c r="C1773" s="1">
        <v>1</v>
      </c>
      <c r="D1773" s="5">
        <f>5+1.2</f>
        <v>6.2</v>
      </c>
      <c r="E1773" s="1"/>
      <c r="F1773" s="5">
        <v>1.2</v>
      </c>
      <c r="G1773" s="4">
        <f t="shared" si="112"/>
        <v>7.4399999999999995</v>
      </c>
      <c r="H1773" s="1" t="s">
        <v>10</v>
      </c>
      <c r="I1773" s="9"/>
      <c r="J1773" s="46"/>
      <c r="K1773" s="5"/>
    </row>
    <row r="1774" spans="1:11">
      <c r="A1774" s="18"/>
      <c r="B1774" s="46" t="s">
        <v>518</v>
      </c>
      <c r="C1774" s="1">
        <v>1</v>
      </c>
      <c r="D1774" s="5">
        <f>(5.12+1.76)*2</f>
        <v>13.76</v>
      </c>
      <c r="E1774" s="1"/>
      <c r="F1774" s="5">
        <v>2.1</v>
      </c>
      <c r="G1774" s="4">
        <f t="shared" si="112"/>
        <v>28.896000000000001</v>
      </c>
      <c r="H1774" s="1" t="s">
        <v>10</v>
      </c>
      <c r="I1774" s="9"/>
      <c r="J1774" s="46"/>
      <c r="K1774" s="5"/>
    </row>
    <row r="1775" spans="1:11">
      <c r="A1775" s="18"/>
      <c r="B1775" s="46" t="s">
        <v>45</v>
      </c>
      <c r="C1775" s="5"/>
      <c r="D1775" s="31"/>
      <c r="E1775" s="31"/>
      <c r="F1775" s="31"/>
      <c r="G1775" s="4"/>
      <c r="H1775" s="1"/>
      <c r="I1775" s="9"/>
      <c r="J1775" s="46"/>
      <c r="K1775" s="5"/>
    </row>
    <row r="1776" spans="1:11">
      <c r="A1776" s="18"/>
      <c r="B1776" s="46" t="s">
        <v>485</v>
      </c>
      <c r="C1776" s="1">
        <v>1</v>
      </c>
      <c r="D1776" s="5">
        <v>12.89</v>
      </c>
      <c r="E1776" s="1"/>
      <c r="F1776" s="5">
        <v>2.1</v>
      </c>
      <c r="G1776" s="4">
        <f t="shared" si="112"/>
        <v>27.069000000000003</v>
      </c>
      <c r="H1776" s="1" t="s">
        <v>10</v>
      </c>
      <c r="I1776" s="9"/>
      <c r="J1776" s="46"/>
      <c r="K1776" s="5"/>
    </row>
    <row r="1777" spans="1:11">
      <c r="A1777" s="18"/>
      <c r="B1777" s="46"/>
      <c r="C1777" s="1">
        <v>1</v>
      </c>
      <c r="D1777" s="5">
        <v>12.739999999999998</v>
      </c>
      <c r="E1777" s="1"/>
      <c r="F1777" s="5">
        <v>2.1</v>
      </c>
      <c r="G1777" s="4">
        <f t="shared" si="112"/>
        <v>26.753999999999998</v>
      </c>
      <c r="H1777" s="1" t="s">
        <v>10</v>
      </c>
      <c r="I1777" s="9"/>
      <c r="J1777" s="46"/>
      <c r="K1777" s="5"/>
    </row>
    <row r="1778" spans="1:11">
      <c r="A1778" s="18"/>
      <c r="B1778" s="46" t="s">
        <v>484</v>
      </c>
      <c r="C1778" s="1">
        <v>1</v>
      </c>
      <c r="D1778" s="5">
        <v>9.5</v>
      </c>
      <c r="E1778" s="1"/>
      <c r="F1778" s="5">
        <v>2.1</v>
      </c>
      <c r="G1778" s="4">
        <f t="shared" si="112"/>
        <v>19.95</v>
      </c>
      <c r="H1778" s="1" t="s">
        <v>10</v>
      </c>
      <c r="I1778" s="9"/>
      <c r="J1778" s="46"/>
      <c r="K1778" s="5"/>
    </row>
    <row r="1779" spans="1:11">
      <c r="A1779" s="18"/>
      <c r="B1779" s="46"/>
      <c r="C1779" s="1">
        <v>1</v>
      </c>
      <c r="D1779" s="5">
        <v>8.0300000000000011</v>
      </c>
      <c r="E1779" s="1"/>
      <c r="F1779" s="5">
        <v>2.1</v>
      </c>
      <c r="G1779" s="4">
        <f t="shared" si="112"/>
        <v>16.863000000000003</v>
      </c>
      <c r="H1779" s="1" t="s">
        <v>10</v>
      </c>
      <c r="I1779" s="9"/>
      <c r="J1779" s="46"/>
      <c r="K1779" s="5"/>
    </row>
    <row r="1780" spans="1:11">
      <c r="A1780" s="18"/>
      <c r="B1780" s="46"/>
      <c r="C1780" s="1">
        <v>1</v>
      </c>
      <c r="D1780" s="5">
        <v>10.780000000000001</v>
      </c>
      <c r="E1780" s="1"/>
      <c r="F1780" s="5">
        <v>2.1</v>
      </c>
      <c r="G1780" s="4">
        <f t="shared" si="112"/>
        <v>22.638000000000002</v>
      </c>
      <c r="H1780" s="1" t="s">
        <v>10</v>
      </c>
      <c r="I1780" s="9"/>
      <c r="J1780" s="46"/>
      <c r="K1780" s="5"/>
    </row>
    <row r="1781" spans="1:11">
      <c r="A1781" s="18"/>
      <c r="B1781" s="46" t="s">
        <v>479</v>
      </c>
      <c r="C1781" s="1">
        <v>1</v>
      </c>
      <c r="D1781" s="5">
        <v>7.82</v>
      </c>
      <c r="E1781" s="1"/>
      <c r="F1781" s="5">
        <v>2.1</v>
      </c>
      <c r="G1781" s="4">
        <f t="shared" si="112"/>
        <v>16.422000000000001</v>
      </c>
      <c r="H1781" s="1" t="s">
        <v>10</v>
      </c>
      <c r="I1781" s="9"/>
      <c r="J1781" s="46"/>
      <c r="K1781" s="5"/>
    </row>
    <row r="1782" spans="1:11">
      <c r="A1782" s="18"/>
      <c r="B1782" s="46"/>
      <c r="C1782" s="1">
        <v>1</v>
      </c>
      <c r="D1782" s="5">
        <v>5.3</v>
      </c>
      <c r="E1782" s="1"/>
      <c r="F1782" s="5">
        <v>2.1</v>
      </c>
      <c r="G1782" s="4">
        <f t="shared" si="112"/>
        <v>11.13</v>
      </c>
      <c r="H1782" s="1" t="s">
        <v>10</v>
      </c>
      <c r="I1782" s="9"/>
      <c r="J1782" s="46"/>
      <c r="K1782" s="5"/>
    </row>
    <row r="1783" spans="1:11">
      <c r="A1783" s="18"/>
      <c r="B1783" s="46"/>
      <c r="C1783" s="1"/>
      <c r="D1783" s="5"/>
      <c r="E1783" s="1"/>
      <c r="F1783" s="5"/>
      <c r="G1783" s="4"/>
      <c r="H1783" s="1"/>
      <c r="I1783" s="9"/>
      <c r="J1783" s="46"/>
      <c r="K1783" s="5"/>
    </row>
    <row r="1784" spans="1:11">
      <c r="A1784" s="18"/>
      <c r="B1784" s="46"/>
      <c r="C1784" s="1"/>
      <c r="D1784" s="5"/>
      <c r="E1784" s="1"/>
      <c r="F1784" s="34" t="s">
        <v>11</v>
      </c>
      <c r="G1784" s="53">
        <f>SUM(G1767:G1783)</f>
        <v>426.48750000000007</v>
      </c>
      <c r="H1784" s="50" t="s">
        <v>17</v>
      </c>
      <c r="I1784" s="9"/>
      <c r="J1784" s="46"/>
      <c r="K1784" s="5"/>
    </row>
    <row r="1785" spans="1:11">
      <c r="A1785" s="18"/>
      <c r="B1785" s="46"/>
      <c r="C1785" s="1"/>
      <c r="D1785" s="5"/>
      <c r="E1785" s="1"/>
      <c r="F1785" s="56" t="s">
        <v>13</v>
      </c>
      <c r="G1785" s="27">
        <f>ROUNDUP(G1784,0)</f>
        <v>427</v>
      </c>
      <c r="H1785" s="28" t="s">
        <v>17</v>
      </c>
      <c r="I1785" s="9"/>
      <c r="J1785" s="46"/>
      <c r="K1785" s="5"/>
    </row>
    <row r="1786" spans="1:11">
      <c r="A1786" s="18"/>
      <c r="B1786" s="46"/>
      <c r="C1786" s="1"/>
      <c r="D1786" s="5"/>
      <c r="E1786" s="1"/>
      <c r="F1786" s="1"/>
      <c r="G1786" s="33"/>
      <c r="H1786" s="24"/>
      <c r="I1786" s="9"/>
      <c r="J1786" s="46"/>
      <c r="K1786" s="5"/>
    </row>
    <row r="1787" spans="1:11">
      <c r="A1787" s="18"/>
      <c r="B1787" s="15" t="s">
        <v>445</v>
      </c>
      <c r="C1787" s="1"/>
      <c r="D1787" s="5"/>
      <c r="E1787" s="1"/>
      <c r="F1787" s="1"/>
      <c r="G1787" s="33"/>
      <c r="H1787" s="24"/>
      <c r="I1787" s="9"/>
      <c r="J1787" s="46"/>
      <c r="K1787" s="5"/>
    </row>
    <row r="1788" spans="1:11">
      <c r="A1788" s="18"/>
      <c r="B1788" s="46" t="s">
        <v>74</v>
      </c>
      <c r="C1788" s="1"/>
      <c r="D1788" s="5"/>
      <c r="E1788" s="1"/>
      <c r="F1788" s="1"/>
      <c r="G1788" s="33"/>
      <c r="H1788" s="24"/>
      <c r="I1788" s="9"/>
      <c r="J1788" s="46"/>
      <c r="K1788" s="5"/>
    </row>
    <row r="1789" spans="1:11">
      <c r="A1789" s="18"/>
      <c r="B1789" s="46" t="s">
        <v>507</v>
      </c>
      <c r="C1789" s="1">
        <v>1</v>
      </c>
      <c r="D1789" s="5">
        <f>5+3.155+3.155</f>
        <v>11.309999999999999</v>
      </c>
      <c r="E1789" s="1"/>
      <c r="F1789" s="5">
        <v>2.1</v>
      </c>
      <c r="G1789" s="4">
        <f>C1789*D1789*F1789</f>
        <v>23.750999999999998</v>
      </c>
      <c r="H1789" s="1" t="s">
        <v>17</v>
      </c>
      <c r="I1789" s="9"/>
      <c r="J1789" s="46"/>
      <c r="K1789" s="5"/>
    </row>
    <row r="1790" spans="1:11">
      <c r="A1790" s="18"/>
      <c r="B1790" s="46" t="s">
        <v>508</v>
      </c>
      <c r="C1790" s="1">
        <v>1</v>
      </c>
      <c r="D1790" s="5">
        <f>(5.43+4.77)*2</f>
        <v>20.399999999999999</v>
      </c>
      <c r="E1790" s="1"/>
      <c r="F1790" s="5">
        <v>2.1</v>
      </c>
      <c r="G1790" s="4">
        <f>C1790*D1790*F1790</f>
        <v>42.839999999999996</v>
      </c>
      <c r="H1790" s="1" t="s">
        <v>10</v>
      </c>
      <c r="I1790" s="9"/>
      <c r="J1790" s="46"/>
      <c r="K1790" s="5"/>
    </row>
    <row r="1791" spans="1:11">
      <c r="A1791" s="18"/>
      <c r="B1791" s="46" t="s">
        <v>45</v>
      </c>
      <c r="C1791" s="1"/>
      <c r="D1791" s="5"/>
      <c r="E1791" s="1"/>
      <c r="F1791" s="5"/>
      <c r="G1791" s="4"/>
      <c r="H1791" s="24"/>
      <c r="I1791" s="9"/>
      <c r="J1791" s="46"/>
      <c r="K1791" s="5"/>
    </row>
    <row r="1792" spans="1:11">
      <c r="A1792" s="18"/>
      <c r="B1792" s="46" t="s">
        <v>31</v>
      </c>
      <c r="C1792" s="1">
        <v>1</v>
      </c>
      <c r="D1792" s="5">
        <v>6.3000000000000007</v>
      </c>
      <c r="E1792" s="1"/>
      <c r="F1792" s="5">
        <v>2.1</v>
      </c>
      <c r="G1792" s="4">
        <f>C1792*D1792*F1792</f>
        <v>13.230000000000002</v>
      </c>
      <c r="H1792" s="1" t="s">
        <v>10</v>
      </c>
      <c r="I1792" s="9"/>
      <c r="J1792" s="46"/>
      <c r="K1792" s="5"/>
    </row>
    <row r="1793" spans="1:11">
      <c r="A1793" s="18"/>
      <c r="B1793" s="46" t="s">
        <v>485</v>
      </c>
      <c r="C1793" s="1">
        <v>1</v>
      </c>
      <c r="D1793" s="5">
        <v>8.0399999999999991</v>
      </c>
      <c r="E1793" s="1"/>
      <c r="F1793" s="5">
        <v>2.1</v>
      </c>
      <c r="G1793" s="4">
        <f t="shared" ref="G1793:G1802" si="113">C1793*D1793*F1793</f>
        <v>16.884</v>
      </c>
      <c r="H1793" s="1" t="s">
        <v>10</v>
      </c>
      <c r="I1793" s="9"/>
      <c r="J1793" s="46"/>
      <c r="K1793" s="5"/>
    </row>
    <row r="1794" spans="1:11">
      <c r="A1794" s="18"/>
      <c r="B1794" s="46" t="s">
        <v>484</v>
      </c>
      <c r="C1794" s="1">
        <v>1</v>
      </c>
      <c r="D1794" s="5">
        <v>6.3000000000000007</v>
      </c>
      <c r="E1794" s="1"/>
      <c r="F1794" s="5">
        <v>2.1</v>
      </c>
      <c r="G1794" s="4">
        <f t="shared" si="113"/>
        <v>13.230000000000002</v>
      </c>
      <c r="H1794" s="1" t="s">
        <v>10</v>
      </c>
      <c r="I1794" s="9"/>
      <c r="J1794" s="46"/>
      <c r="K1794" s="5"/>
    </row>
    <row r="1795" spans="1:11">
      <c r="A1795" s="18"/>
      <c r="B1795" s="46" t="s">
        <v>31</v>
      </c>
      <c r="C1795" s="1">
        <v>1</v>
      </c>
      <c r="D1795" s="5">
        <v>8</v>
      </c>
      <c r="E1795" s="1"/>
      <c r="F1795" s="5">
        <v>2.1</v>
      </c>
      <c r="G1795" s="4">
        <f t="shared" si="113"/>
        <v>16.8</v>
      </c>
      <c r="H1795" s="1" t="s">
        <v>10</v>
      </c>
      <c r="I1795" s="9"/>
      <c r="J1795" s="46"/>
      <c r="K1795" s="5"/>
    </row>
    <row r="1796" spans="1:11">
      <c r="A1796" s="18"/>
      <c r="B1796" s="46" t="s">
        <v>505</v>
      </c>
      <c r="C1796" s="1">
        <v>1</v>
      </c>
      <c r="D1796" s="5">
        <v>5.0999999999999996</v>
      </c>
      <c r="E1796" s="1"/>
      <c r="F1796" s="5">
        <v>2.1</v>
      </c>
      <c r="G1796" s="4">
        <f t="shared" si="113"/>
        <v>10.709999999999999</v>
      </c>
      <c r="H1796" s="1" t="s">
        <v>10</v>
      </c>
      <c r="I1796" s="9"/>
      <c r="J1796" s="46"/>
      <c r="K1796" s="5"/>
    </row>
    <row r="1797" spans="1:11">
      <c r="A1797" s="18"/>
      <c r="B1797" s="46" t="s">
        <v>504</v>
      </c>
      <c r="C1797" s="1">
        <v>1</v>
      </c>
      <c r="D1797" s="5">
        <v>7.66</v>
      </c>
      <c r="E1797" s="1"/>
      <c r="F1797" s="5">
        <v>2.1</v>
      </c>
      <c r="G1797" s="4">
        <f t="shared" si="113"/>
        <v>16.086000000000002</v>
      </c>
      <c r="H1797" s="1" t="s">
        <v>10</v>
      </c>
      <c r="I1797" s="9"/>
      <c r="J1797" s="46"/>
      <c r="K1797" s="5"/>
    </row>
    <row r="1798" spans="1:11">
      <c r="A1798" s="18"/>
      <c r="B1798" s="46" t="s">
        <v>31</v>
      </c>
      <c r="C1798" s="1">
        <v>1</v>
      </c>
      <c r="D1798" s="5">
        <v>12.959999999999999</v>
      </c>
      <c r="E1798" s="1"/>
      <c r="F1798" s="5">
        <v>2.1</v>
      </c>
      <c r="G1798" s="4">
        <f t="shared" si="113"/>
        <v>27.215999999999998</v>
      </c>
      <c r="H1798" s="1" t="s">
        <v>10</v>
      </c>
      <c r="I1798" s="9"/>
      <c r="J1798" s="46"/>
      <c r="K1798" s="5"/>
    </row>
    <row r="1799" spans="1:11">
      <c r="A1799" s="18"/>
      <c r="B1799" s="46" t="s">
        <v>504</v>
      </c>
      <c r="C1799" s="1">
        <v>1</v>
      </c>
      <c r="D1799" s="5">
        <v>6.1899999999999995</v>
      </c>
      <c r="E1799" s="1"/>
      <c r="F1799" s="5">
        <v>2.1</v>
      </c>
      <c r="G1799" s="4">
        <f t="shared" si="113"/>
        <v>12.998999999999999</v>
      </c>
      <c r="H1799" s="1" t="s">
        <v>10</v>
      </c>
      <c r="I1799" s="9"/>
      <c r="J1799" s="46"/>
      <c r="K1799" s="5"/>
    </row>
    <row r="1800" spans="1:11">
      <c r="A1800" s="18"/>
      <c r="B1800" s="46"/>
      <c r="C1800" s="1">
        <v>1</v>
      </c>
      <c r="D1800" s="5">
        <v>5.96</v>
      </c>
      <c r="E1800" s="1"/>
      <c r="F1800" s="5">
        <v>2.1</v>
      </c>
      <c r="G1800" s="4">
        <f t="shared" si="113"/>
        <v>12.516</v>
      </c>
      <c r="H1800" s="1" t="s">
        <v>10</v>
      </c>
      <c r="I1800" s="9"/>
      <c r="J1800" s="46"/>
      <c r="K1800" s="5"/>
    </row>
    <row r="1801" spans="1:11">
      <c r="A1801" s="18"/>
      <c r="B1801" s="46" t="s">
        <v>505</v>
      </c>
      <c r="C1801" s="1">
        <v>1</v>
      </c>
      <c r="D1801" s="5">
        <v>4.95</v>
      </c>
      <c r="E1801" s="1"/>
      <c r="F1801" s="5">
        <v>2.1</v>
      </c>
      <c r="G1801" s="4">
        <f t="shared" si="113"/>
        <v>10.395000000000001</v>
      </c>
      <c r="H1801" s="1" t="s">
        <v>10</v>
      </c>
      <c r="I1801" s="9"/>
      <c r="J1801" s="46"/>
      <c r="K1801" s="5"/>
    </row>
    <row r="1802" spans="1:11">
      <c r="A1802" s="18"/>
      <c r="B1802" s="46"/>
      <c r="C1802" s="1">
        <v>1</v>
      </c>
      <c r="D1802" s="5">
        <v>4.95</v>
      </c>
      <c r="E1802" s="1"/>
      <c r="F1802" s="5">
        <v>2.1</v>
      </c>
      <c r="G1802" s="4">
        <f t="shared" si="113"/>
        <v>10.395000000000001</v>
      </c>
      <c r="H1802" s="1" t="s">
        <v>10</v>
      </c>
      <c r="I1802" s="9"/>
      <c r="J1802" s="46"/>
      <c r="K1802" s="5"/>
    </row>
    <row r="1803" spans="1:11">
      <c r="A1803" s="18"/>
      <c r="B1803" s="46"/>
      <c r="C1803" s="1"/>
      <c r="D1803" s="5"/>
      <c r="E1803" s="1"/>
      <c r="F1803" s="5"/>
      <c r="G1803" s="33"/>
      <c r="H1803" s="24"/>
      <c r="I1803" s="9"/>
      <c r="J1803" s="46"/>
      <c r="K1803" s="5"/>
    </row>
    <row r="1804" spans="1:11">
      <c r="A1804" s="18"/>
      <c r="B1804" s="46"/>
      <c r="C1804" s="1"/>
      <c r="D1804" s="5"/>
      <c r="E1804" s="1"/>
      <c r="F1804" s="34" t="s">
        <v>11</v>
      </c>
      <c r="G1804" s="53">
        <f>SUM(G1789:G1803)</f>
        <v>227.05200000000002</v>
      </c>
      <c r="H1804" s="50" t="s">
        <v>17</v>
      </c>
      <c r="I1804" s="9"/>
      <c r="J1804" s="46"/>
      <c r="K1804" s="5"/>
    </row>
    <row r="1805" spans="1:11">
      <c r="A1805" s="18"/>
      <c r="B1805" s="46"/>
      <c r="C1805" s="1"/>
      <c r="D1805" s="5"/>
      <c r="E1805" s="1"/>
      <c r="F1805" s="56" t="s">
        <v>13</v>
      </c>
      <c r="G1805" s="27">
        <f>ROUNDUP(G1804,0)</f>
        <v>228</v>
      </c>
      <c r="H1805" s="28" t="s">
        <v>17</v>
      </c>
      <c r="I1805" s="9"/>
      <c r="J1805" s="46"/>
      <c r="K1805" s="5"/>
    </row>
    <row r="1806" spans="1:11">
      <c r="A1806" s="13"/>
      <c r="B1806" s="9"/>
      <c r="C1806" s="1"/>
      <c r="D1806" s="1"/>
      <c r="E1806" s="1"/>
      <c r="F1806" s="1"/>
      <c r="G1806" s="33"/>
      <c r="H1806" s="24"/>
      <c r="I1806" s="9"/>
      <c r="J1806" s="46"/>
      <c r="K1806" s="5"/>
    </row>
    <row r="1807" spans="1:11">
      <c r="A1807" s="13"/>
      <c r="B1807" s="9"/>
      <c r="C1807" s="1"/>
      <c r="D1807" s="1"/>
      <c r="E1807" s="1"/>
      <c r="F1807" s="1"/>
      <c r="G1807" s="33"/>
      <c r="H1807" s="24"/>
      <c r="I1807" s="9"/>
      <c r="J1807" s="46"/>
      <c r="K1807" s="5"/>
    </row>
    <row r="1808" spans="1:11">
      <c r="A1808" s="13"/>
      <c r="B1808" s="15" t="s">
        <v>57</v>
      </c>
      <c r="C1808" s="5"/>
      <c r="D1808" s="31"/>
      <c r="E1808" s="31"/>
      <c r="F1808" s="31"/>
      <c r="G1808" s="33"/>
      <c r="H1808" s="24"/>
      <c r="I1808" s="9"/>
      <c r="J1808" s="46"/>
      <c r="K1808" s="5"/>
    </row>
    <row r="1809" spans="1:11">
      <c r="A1809" s="13"/>
      <c r="B1809" s="46" t="s">
        <v>45</v>
      </c>
      <c r="C1809" s="5"/>
      <c r="D1809" s="31"/>
      <c r="E1809" s="31"/>
      <c r="F1809" s="31"/>
      <c r="G1809" s="33"/>
      <c r="H1809" s="24"/>
      <c r="I1809" s="9"/>
      <c r="J1809" s="46"/>
      <c r="K1809" s="5"/>
    </row>
    <row r="1810" spans="1:11">
      <c r="A1810" s="13"/>
      <c r="B1810" s="46" t="s">
        <v>31</v>
      </c>
      <c r="C1810" s="1">
        <v>1</v>
      </c>
      <c r="D1810" s="5">
        <v>8</v>
      </c>
      <c r="E1810" s="1"/>
      <c r="F1810" s="5">
        <v>2.1</v>
      </c>
      <c r="G1810" s="4">
        <f>C1810*D1810*F1810</f>
        <v>16.8</v>
      </c>
      <c r="H1810" s="1" t="s">
        <v>17</v>
      </c>
      <c r="I1810" s="9"/>
      <c r="J1810" s="46"/>
      <c r="K1810" s="5"/>
    </row>
    <row r="1811" spans="1:11">
      <c r="A1811" s="13"/>
      <c r="B1811" s="46">
        <v>0</v>
      </c>
      <c r="C1811" s="1">
        <v>1</v>
      </c>
      <c r="D1811" s="5">
        <v>8.0399999999999991</v>
      </c>
      <c r="E1811" s="1"/>
      <c r="F1811" s="5">
        <v>2.1</v>
      </c>
      <c r="G1811" s="4">
        <f t="shared" ref="G1811:G1816" si="114">C1811*D1811*F1811</f>
        <v>16.884</v>
      </c>
      <c r="H1811" s="1" t="s">
        <v>10</v>
      </c>
      <c r="I1811" s="9"/>
      <c r="J1811" s="46"/>
      <c r="K1811" s="5"/>
    </row>
    <row r="1812" spans="1:11">
      <c r="A1812" s="13"/>
      <c r="B1812" s="46" t="s">
        <v>505</v>
      </c>
      <c r="C1812" s="1">
        <v>1</v>
      </c>
      <c r="D1812" s="5">
        <v>5.0999999999999996</v>
      </c>
      <c r="E1812" s="1"/>
      <c r="F1812" s="5">
        <v>2.1</v>
      </c>
      <c r="G1812" s="4">
        <f t="shared" si="114"/>
        <v>10.709999999999999</v>
      </c>
      <c r="H1812" s="1" t="s">
        <v>10</v>
      </c>
      <c r="I1812" s="9"/>
      <c r="J1812" s="46"/>
      <c r="K1812" s="5"/>
    </row>
    <row r="1813" spans="1:11">
      <c r="A1813" s="13"/>
      <c r="B1813" s="46" t="s">
        <v>504</v>
      </c>
      <c r="C1813" s="1">
        <v>1</v>
      </c>
      <c r="D1813" s="5">
        <v>7.66</v>
      </c>
      <c r="E1813" s="1"/>
      <c r="F1813" s="5">
        <v>2.1</v>
      </c>
      <c r="G1813" s="4">
        <f t="shared" si="114"/>
        <v>16.086000000000002</v>
      </c>
      <c r="H1813" s="1" t="s">
        <v>10</v>
      </c>
      <c r="I1813" s="9"/>
      <c r="J1813" s="46"/>
      <c r="K1813" s="5"/>
    </row>
    <row r="1814" spans="1:11">
      <c r="A1814" s="13"/>
      <c r="B1814" s="46" t="s">
        <v>31</v>
      </c>
      <c r="C1814" s="1">
        <v>1</v>
      </c>
      <c r="D1814" s="5">
        <v>19.079999999999998</v>
      </c>
      <c r="E1814" s="1"/>
      <c r="F1814" s="5">
        <v>2.1</v>
      </c>
      <c r="G1814" s="4">
        <f t="shared" si="114"/>
        <v>40.067999999999998</v>
      </c>
      <c r="H1814" s="1" t="s">
        <v>10</v>
      </c>
      <c r="I1814" s="9"/>
      <c r="J1814" s="46"/>
      <c r="K1814" s="5"/>
    </row>
    <row r="1815" spans="1:11">
      <c r="A1815" s="13"/>
      <c r="B1815" s="46"/>
      <c r="C1815" s="1">
        <v>1</v>
      </c>
      <c r="D1815" s="5">
        <v>4.24</v>
      </c>
      <c r="E1815" s="1"/>
      <c r="F1815" s="5">
        <v>2.1</v>
      </c>
      <c r="G1815" s="4">
        <f t="shared" si="114"/>
        <v>8.9040000000000017</v>
      </c>
      <c r="H1815" s="1" t="s">
        <v>10</v>
      </c>
      <c r="I1815" s="9"/>
      <c r="J1815" s="46"/>
      <c r="K1815" s="5"/>
    </row>
    <row r="1816" spans="1:11">
      <c r="A1816" s="13"/>
      <c r="B1816" s="46" t="s">
        <v>31</v>
      </c>
      <c r="C1816" s="1">
        <v>1</v>
      </c>
      <c r="D1816" s="5">
        <v>18.11</v>
      </c>
      <c r="E1816" s="1"/>
      <c r="F1816" s="5">
        <v>2.1</v>
      </c>
      <c r="G1816" s="4">
        <f t="shared" si="114"/>
        <v>38.030999999999999</v>
      </c>
      <c r="H1816" s="1" t="s">
        <v>10</v>
      </c>
      <c r="I1816" s="9"/>
      <c r="J1816" s="46"/>
      <c r="K1816" s="5"/>
    </row>
    <row r="1817" spans="1:11">
      <c r="A1817" s="13"/>
      <c r="B1817" s="9"/>
      <c r="C1817" s="1"/>
      <c r="D1817" s="5"/>
      <c r="E1817" s="1"/>
      <c r="F1817" s="5"/>
      <c r="G1817" s="4"/>
      <c r="H1817" s="24"/>
      <c r="I1817" s="9"/>
      <c r="J1817" s="46"/>
      <c r="K1817" s="5"/>
    </row>
    <row r="1818" spans="1:11">
      <c r="A1818" s="13"/>
      <c r="B1818" s="9"/>
      <c r="C1818" s="1"/>
      <c r="D1818" s="5"/>
      <c r="E1818" s="1"/>
      <c r="F1818" s="34" t="s">
        <v>11</v>
      </c>
      <c r="G1818" s="53">
        <f>SUM(G1810:G1817)</f>
        <v>147.483</v>
      </c>
      <c r="H1818" s="50" t="s">
        <v>17</v>
      </c>
      <c r="I1818" s="9"/>
      <c r="J1818" s="46"/>
      <c r="K1818" s="5"/>
    </row>
    <row r="1819" spans="1:11">
      <c r="A1819" s="13"/>
      <c r="B1819" s="9"/>
      <c r="C1819" s="1"/>
      <c r="D1819" s="5"/>
      <c r="E1819" s="1"/>
      <c r="F1819" s="56" t="s">
        <v>13</v>
      </c>
      <c r="G1819" s="27">
        <f>ROUNDUP(G1818,0)</f>
        <v>148</v>
      </c>
      <c r="H1819" s="28" t="s">
        <v>17</v>
      </c>
      <c r="I1819" s="9"/>
      <c r="J1819" s="46"/>
      <c r="K1819" s="5"/>
    </row>
    <row r="1820" spans="1:11">
      <c r="A1820" s="13"/>
      <c r="B1820" s="9"/>
      <c r="C1820" s="1"/>
      <c r="D1820" s="5"/>
      <c r="E1820" s="1"/>
      <c r="F1820" s="5"/>
      <c r="G1820" s="4"/>
      <c r="H1820" s="24"/>
      <c r="I1820" s="9"/>
      <c r="J1820" s="46"/>
      <c r="K1820" s="5"/>
    </row>
    <row r="1821" spans="1:11">
      <c r="A1821" s="13"/>
      <c r="B1821" s="9"/>
      <c r="C1821" s="1"/>
      <c r="D1821" s="1"/>
      <c r="E1821" s="1"/>
      <c r="F1821" s="1"/>
      <c r="G1821" s="33"/>
      <c r="H1821" s="24"/>
      <c r="I1821" s="9"/>
      <c r="J1821" s="46"/>
      <c r="K1821" s="5"/>
    </row>
    <row r="1822" spans="1:11">
      <c r="A1822" s="18">
        <f>A1764+1</f>
        <v>51</v>
      </c>
      <c r="B1822" s="9" t="s">
        <v>65</v>
      </c>
      <c r="I1822" s="9"/>
      <c r="J1822" s="31"/>
      <c r="K1822" s="31"/>
    </row>
    <row r="1823" spans="1:11">
      <c r="A1823" s="18"/>
      <c r="B1823" s="15" t="s">
        <v>56</v>
      </c>
      <c r="C1823" s="1">
        <v>1</v>
      </c>
      <c r="D1823" s="5">
        <f>(41.23+24.67)*2</f>
        <v>131.80000000000001</v>
      </c>
      <c r="E1823" s="1"/>
      <c r="F1823" s="5">
        <f>4.8+1.2</f>
        <v>6</v>
      </c>
      <c r="G1823" s="4">
        <f>C1823*D1823*F1823</f>
        <v>790.80000000000007</v>
      </c>
      <c r="H1823" s="1" t="s">
        <v>17</v>
      </c>
      <c r="I1823" s="9"/>
      <c r="J1823" s="31"/>
      <c r="K1823" s="31"/>
    </row>
    <row r="1824" spans="1:11">
      <c r="A1824" s="18"/>
      <c r="B1824" s="15"/>
      <c r="C1824" s="1">
        <v>1</v>
      </c>
      <c r="D1824" s="5">
        <v>3.62</v>
      </c>
      <c r="E1824" s="1"/>
      <c r="F1824" s="5">
        <f>7.3-4.8+1.2</f>
        <v>3.7</v>
      </c>
      <c r="G1824" s="4">
        <f>C1824*D1824*F1824</f>
        <v>13.394000000000002</v>
      </c>
      <c r="H1824" s="1" t="s">
        <v>10</v>
      </c>
      <c r="I1824" s="9"/>
      <c r="J1824" s="31"/>
      <c r="K1824" s="31"/>
    </row>
    <row r="1825" spans="1:11">
      <c r="A1825" s="18"/>
      <c r="B1825" s="9"/>
      <c r="C1825" s="1"/>
      <c r="D1825" s="5"/>
      <c r="E1825" s="1"/>
      <c r="F1825" s="5"/>
      <c r="G1825" s="4"/>
      <c r="H1825" s="1"/>
      <c r="I1825" s="9"/>
      <c r="J1825" s="31"/>
      <c r="K1825" s="31"/>
    </row>
    <row r="1826" spans="1:11">
      <c r="A1826" s="18"/>
      <c r="B1826" s="9"/>
      <c r="C1826" s="1"/>
      <c r="D1826" s="5"/>
      <c r="E1826" s="1"/>
      <c r="F1826" s="34" t="s">
        <v>11</v>
      </c>
      <c r="G1826" s="53">
        <f>SUM(G1823:G1825)</f>
        <v>804.19400000000007</v>
      </c>
      <c r="H1826" s="50" t="s">
        <v>17</v>
      </c>
      <c r="I1826" s="9"/>
      <c r="J1826" s="46"/>
      <c r="K1826" s="31"/>
    </row>
    <row r="1827" spans="1:11">
      <c r="A1827" s="18"/>
      <c r="B1827" s="9"/>
      <c r="C1827" s="1"/>
      <c r="D1827" s="1"/>
      <c r="E1827" s="1"/>
      <c r="F1827" s="56" t="s">
        <v>13</v>
      </c>
      <c r="G1827" s="27">
        <f>ROUNDUP(G1826,0)</f>
        <v>805</v>
      </c>
      <c r="H1827" s="28" t="s">
        <v>17</v>
      </c>
      <c r="I1827" s="9"/>
      <c r="J1827" s="46"/>
      <c r="K1827" s="31"/>
    </row>
    <row r="1828" spans="1:11">
      <c r="A1828" s="18"/>
      <c r="B1828" s="9"/>
      <c r="C1828" s="1"/>
      <c r="D1828" s="1"/>
      <c r="E1828" s="1"/>
      <c r="F1828" s="1"/>
      <c r="G1828" s="33"/>
      <c r="H1828" s="24"/>
      <c r="I1828" s="9"/>
      <c r="J1828" s="46"/>
      <c r="K1828" s="31"/>
    </row>
    <row r="1829" spans="1:11">
      <c r="A1829" s="18"/>
      <c r="B1829" s="15" t="s">
        <v>445</v>
      </c>
      <c r="I1829" s="9"/>
      <c r="J1829" s="46"/>
      <c r="K1829" s="31"/>
    </row>
    <row r="1830" spans="1:11">
      <c r="A1830" s="18"/>
      <c r="C1830" s="1">
        <v>1</v>
      </c>
      <c r="D1830" s="5">
        <f>(41.23+20.5)*2</f>
        <v>123.46</v>
      </c>
      <c r="E1830" s="1"/>
      <c r="F1830" s="5">
        <v>4</v>
      </c>
      <c r="G1830" s="4">
        <f>C1830*D1830*F1830</f>
        <v>493.84</v>
      </c>
      <c r="H1830" s="1" t="s">
        <v>17</v>
      </c>
      <c r="I1830" s="9"/>
      <c r="J1830" s="46"/>
      <c r="K1830" s="31"/>
    </row>
    <row r="1831" spans="1:11">
      <c r="A1831" s="18"/>
      <c r="B1831" s="9"/>
      <c r="C1831" s="1"/>
      <c r="D1831" s="5"/>
      <c r="E1831" s="1"/>
      <c r="F1831" s="5"/>
      <c r="G1831" s="4"/>
      <c r="H1831" s="1"/>
      <c r="I1831" s="9"/>
      <c r="J1831" s="46"/>
      <c r="K1831" s="31"/>
    </row>
    <row r="1832" spans="1:11">
      <c r="A1832" s="18"/>
      <c r="B1832" s="9"/>
      <c r="C1832" s="1"/>
      <c r="D1832" s="5"/>
      <c r="E1832" s="1"/>
      <c r="F1832" s="34" t="s">
        <v>11</v>
      </c>
      <c r="G1832" s="53">
        <f>SUM(G1830:G1830)</f>
        <v>493.84</v>
      </c>
      <c r="H1832" s="50" t="s">
        <v>17</v>
      </c>
      <c r="I1832" s="9"/>
      <c r="J1832" s="46"/>
      <c r="K1832" s="31"/>
    </row>
    <row r="1833" spans="1:11">
      <c r="A1833" s="18"/>
      <c r="B1833" s="9"/>
      <c r="C1833" s="1"/>
      <c r="D1833" s="1"/>
      <c r="E1833" s="1"/>
      <c r="F1833" s="56" t="s">
        <v>13</v>
      </c>
      <c r="G1833" s="27">
        <f>ROUNDUP(G1832,0)</f>
        <v>494</v>
      </c>
      <c r="H1833" s="28" t="s">
        <v>17</v>
      </c>
      <c r="I1833" s="9"/>
      <c r="J1833" s="46"/>
      <c r="K1833" s="31"/>
    </row>
    <row r="1834" spans="1:11">
      <c r="A1834" s="18"/>
      <c r="B1834" s="9"/>
      <c r="C1834" s="1"/>
      <c r="D1834" s="1"/>
      <c r="E1834" s="1"/>
      <c r="F1834" s="1"/>
      <c r="G1834" s="33"/>
      <c r="H1834" s="24"/>
      <c r="I1834" s="9"/>
      <c r="J1834" s="46"/>
      <c r="K1834" s="31"/>
    </row>
    <row r="1835" spans="1:11">
      <c r="A1835" s="18"/>
      <c r="B1835" s="15" t="s">
        <v>57</v>
      </c>
      <c r="C1835" s="31"/>
      <c r="D1835" s="31"/>
      <c r="E1835" s="31"/>
      <c r="F1835" s="31"/>
      <c r="H1835" s="31"/>
      <c r="I1835" s="9"/>
      <c r="J1835" s="46"/>
      <c r="K1835" s="31"/>
    </row>
    <row r="1836" spans="1:11">
      <c r="A1836" s="18"/>
      <c r="B1836" s="9"/>
      <c r="C1836" s="1">
        <v>1</v>
      </c>
      <c r="D1836" s="5">
        <f>(16.58+20.5)*2</f>
        <v>74.16</v>
      </c>
      <c r="E1836" s="1"/>
      <c r="F1836" s="5">
        <v>3.5</v>
      </c>
      <c r="G1836" s="4">
        <f>C1836*D1836*F1836</f>
        <v>259.56</v>
      </c>
      <c r="H1836" s="1" t="s">
        <v>17</v>
      </c>
      <c r="I1836" s="9"/>
      <c r="J1836" s="46"/>
      <c r="K1836" s="31"/>
    </row>
    <row r="1837" spans="1:11">
      <c r="A1837" s="18"/>
      <c r="B1837" s="9"/>
      <c r="C1837" s="1">
        <f>27</f>
        <v>27</v>
      </c>
      <c r="D1837" s="5">
        <f>2*(0.7+0.45)</f>
        <v>2.2999999999999998</v>
      </c>
      <c r="E1837" s="1"/>
      <c r="F1837" s="5">
        <f>4-0.45</f>
        <v>3.55</v>
      </c>
      <c r="G1837" s="4">
        <f>C1837*D1837*F1837</f>
        <v>220.45499999999996</v>
      </c>
      <c r="H1837" s="1" t="s">
        <v>10</v>
      </c>
      <c r="I1837" s="9"/>
      <c r="J1837" s="46"/>
      <c r="K1837" s="31"/>
    </row>
    <row r="1838" spans="1:11">
      <c r="A1838" s="18"/>
      <c r="B1838" s="9"/>
      <c r="C1838" s="1">
        <v>1</v>
      </c>
      <c r="D1838" s="5">
        <f>10.275+15.755+5.12+10.125</f>
        <v>41.275000000000006</v>
      </c>
      <c r="E1838" s="5">
        <v>0.45</v>
      </c>
      <c r="F1838" s="31"/>
      <c r="G1838" s="4">
        <f>C1838*D1838*E1838</f>
        <v>18.573750000000004</v>
      </c>
      <c r="H1838" s="1" t="s">
        <v>10</v>
      </c>
      <c r="I1838" s="9"/>
      <c r="J1838" s="46"/>
      <c r="K1838" s="31"/>
    </row>
    <row r="1839" spans="1:11">
      <c r="A1839" s="18"/>
      <c r="B1839" s="46" t="s">
        <v>634</v>
      </c>
      <c r="C1839" s="1">
        <v>1</v>
      </c>
      <c r="D1839" s="5">
        <v>32.200000000000003</v>
      </c>
      <c r="E1839" s="5"/>
      <c r="F1839" s="5">
        <f>0.45*4</f>
        <v>1.8</v>
      </c>
      <c r="G1839" s="4">
        <f>C1839*D1839*F1839</f>
        <v>57.960000000000008</v>
      </c>
      <c r="H1839" s="1"/>
      <c r="I1839" s="9"/>
      <c r="J1839" s="46"/>
      <c r="K1839" s="31"/>
    </row>
    <row r="1840" spans="1:11">
      <c r="A1840" s="18"/>
      <c r="B1840" s="9"/>
      <c r="C1840" s="1"/>
      <c r="D1840" s="5"/>
      <c r="E1840" s="1"/>
      <c r="F1840" s="5"/>
      <c r="G1840" s="4"/>
      <c r="H1840" s="1"/>
      <c r="I1840" s="9"/>
      <c r="J1840" s="46"/>
      <c r="K1840" s="31"/>
    </row>
    <row r="1841" spans="1:11">
      <c r="A1841" s="18"/>
      <c r="B1841" s="9"/>
      <c r="C1841" s="1"/>
      <c r="D1841" s="5"/>
      <c r="E1841" s="1"/>
      <c r="F1841" s="34" t="s">
        <v>11</v>
      </c>
      <c r="G1841" s="53">
        <f>SUM(G1836:G1840)</f>
        <v>556.54875000000004</v>
      </c>
      <c r="H1841" s="50" t="s">
        <v>17</v>
      </c>
      <c r="I1841" s="9"/>
      <c r="J1841" s="46"/>
      <c r="K1841" s="31"/>
    </row>
    <row r="1842" spans="1:11">
      <c r="A1842" s="18"/>
      <c r="B1842" s="9"/>
      <c r="C1842" s="1"/>
      <c r="D1842" s="1"/>
      <c r="E1842" s="1"/>
      <c r="F1842" s="56" t="s">
        <v>13</v>
      </c>
      <c r="G1842" s="27">
        <f>ROUNDUP(G1841,0)</f>
        <v>557</v>
      </c>
      <c r="H1842" s="28" t="s">
        <v>17</v>
      </c>
      <c r="I1842" s="9"/>
      <c r="J1842" s="46"/>
      <c r="K1842" s="31"/>
    </row>
    <row r="1843" spans="1:11">
      <c r="A1843" s="18"/>
      <c r="B1843" s="9"/>
      <c r="C1843" s="1"/>
      <c r="D1843" s="1"/>
      <c r="E1843" s="1"/>
      <c r="F1843" s="1"/>
      <c r="G1843" s="33"/>
      <c r="H1843" s="24"/>
      <c r="I1843" s="9"/>
      <c r="J1843" s="46"/>
      <c r="K1843" s="31"/>
    </row>
    <row r="1844" spans="1:11">
      <c r="A1844" s="18">
        <f>A1822+1</f>
        <v>52</v>
      </c>
      <c r="B1844" s="9" t="s">
        <v>607</v>
      </c>
      <c r="C1844" s="46"/>
      <c r="D1844" s="2"/>
      <c r="E1844" s="2"/>
      <c r="F1844" s="2"/>
      <c r="G1844" s="4"/>
      <c r="H1844" s="1"/>
      <c r="I1844" s="9"/>
      <c r="J1844" s="4"/>
      <c r="K1844" s="31"/>
    </row>
    <row r="1845" spans="1:11">
      <c r="B1845" s="15" t="s">
        <v>56</v>
      </c>
      <c r="C1845" s="46"/>
      <c r="D1845" s="2"/>
      <c r="E1845" s="2"/>
      <c r="F1845" s="2"/>
      <c r="G1845" s="4"/>
      <c r="H1845" s="1"/>
      <c r="I1845" s="9"/>
      <c r="J1845" s="4"/>
      <c r="K1845" s="31"/>
    </row>
    <row r="1846" spans="1:11">
      <c r="B1846" s="46" t="s">
        <v>608</v>
      </c>
      <c r="C1846" s="1">
        <v>1</v>
      </c>
      <c r="D1846" s="5">
        <v>28.5</v>
      </c>
      <c r="E1846" s="5">
        <v>5.09</v>
      </c>
      <c r="F1846" s="2"/>
      <c r="G1846" s="4">
        <f>C1846*D1846*E1846</f>
        <v>145.065</v>
      </c>
      <c r="H1846" s="1" t="s">
        <v>17</v>
      </c>
      <c r="I1846" s="9"/>
      <c r="J1846" s="4"/>
      <c r="K1846" s="31"/>
    </row>
    <row r="1847" spans="1:11">
      <c r="B1847" s="46"/>
      <c r="C1847" s="1">
        <v>5</v>
      </c>
      <c r="D1847" s="5">
        <v>1.3</v>
      </c>
      <c r="E1847" s="5">
        <v>1.2</v>
      </c>
      <c r="F1847" s="2"/>
      <c r="G1847" s="4">
        <f>C1847*D1847*E1847</f>
        <v>7.8</v>
      </c>
      <c r="H1847" s="1" t="s">
        <v>10</v>
      </c>
      <c r="I1847" s="9"/>
      <c r="J1847" s="4"/>
      <c r="K1847" s="31"/>
    </row>
    <row r="1848" spans="1:11">
      <c r="B1848" s="46"/>
      <c r="C1848" s="1">
        <v>1</v>
      </c>
      <c r="D1848" s="5">
        <v>0.9</v>
      </c>
      <c r="E1848" s="5">
        <v>1.2</v>
      </c>
      <c r="F1848" s="2"/>
      <c r="G1848" s="4">
        <f>C1848*D1848*E1848</f>
        <v>1.08</v>
      </c>
      <c r="H1848" s="1" t="s">
        <v>10</v>
      </c>
      <c r="I1848" s="9"/>
      <c r="J1848" s="4"/>
      <c r="K1848" s="31"/>
    </row>
    <row r="1849" spans="1:11">
      <c r="B1849" s="46"/>
      <c r="C1849" s="1">
        <v>1</v>
      </c>
      <c r="D1849" s="5">
        <v>1.72</v>
      </c>
      <c r="E1849" s="5">
        <v>1.3</v>
      </c>
      <c r="F1849" s="2"/>
      <c r="G1849" s="4">
        <f>C1849*D1849*E1849</f>
        <v>2.2360000000000002</v>
      </c>
      <c r="H1849" s="1" t="s">
        <v>10</v>
      </c>
      <c r="I1849" s="9"/>
      <c r="J1849" s="4"/>
      <c r="K1849" s="31"/>
    </row>
    <row r="1850" spans="1:11">
      <c r="B1850" s="46" t="s">
        <v>609</v>
      </c>
      <c r="C1850" s="1">
        <v>1</v>
      </c>
      <c r="D1850" s="5">
        <f>G877</f>
        <v>45</v>
      </c>
      <c r="E1850" s="5" t="s">
        <v>17</v>
      </c>
      <c r="F1850" s="2"/>
      <c r="G1850" s="4">
        <f>C1850*D1850</f>
        <v>45</v>
      </c>
      <c r="H1850" s="1" t="s">
        <v>10</v>
      </c>
      <c r="I1850" s="9"/>
      <c r="J1850" s="4"/>
      <c r="K1850" s="31"/>
    </row>
    <row r="1851" spans="1:11">
      <c r="B1851" s="46"/>
      <c r="C1851" s="46"/>
      <c r="D1851" s="2"/>
      <c r="E1851" s="2"/>
      <c r="F1851" s="2"/>
      <c r="G1851" s="4"/>
      <c r="H1851" s="1"/>
      <c r="I1851" s="9"/>
      <c r="J1851" s="4"/>
      <c r="K1851" s="31"/>
    </row>
    <row r="1852" spans="1:11">
      <c r="B1852" s="46"/>
      <c r="C1852" s="46"/>
      <c r="D1852" s="2"/>
      <c r="E1852" s="2"/>
      <c r="F1852" s="100" t="s">
        <v>11</v>
      </c>
      <c r="G1852" s="53">
        <f>SUM(G1846:G1851)</f>
        <v>201.18100000000001</v>
      </c>
      <c r="H1852" s="50" t="s">
        <v>17</v>
      </c>
      <c r="I1852" s="9"/>
      <c r="J1852" s="4"/>
      <c r="K1852" s="31"/>
    </row>
    <row r="1853" spans="1:11">
      <c r="B1853" s="9"/>
      <c r="C1853" s="46"/>
      <c r="D1853" s="2"/>
      <c r="E1853" s="2"/>
      <c r="F1853" s="75" t="s">
        <v>13</v>
      </c>
      <c r="G1853" s="27">
        <f>ROUNDUP(G1852,0)</f>
        <v>202</v>
      </c>
      <c r="H1853" s="28" t="s">
        <v>17</v>
      </c>
      <c r="I1853" s="9"/>
      <c r="J1853" s="4"/>
      <c r="K1853" s="31"/>
    </row>
    <row r="1854" spans="1:11">
      <c r="A1854" s="18"/>
      <c r="F1854" s="1"/>
      <c r="G1854" s="33"/>
      <c r="H1854" s="24"/>
      <c r="I1854" s="9"/>
      <c r="J1854" s="4"/>
      <c r="K1854" s="31"/>
    </row>
    <row r="1855" spans="1:11">
      <c r="A1855" s="18"/>
      <c r="B1855" s="15" t="s">
        <v>445</v>
      </c>
      <c r="F1855" s="1"/>
      <c r="G1855" s="33"/>
      <c r="H1855" s="24"/>
      <c r="I1855" s="9"/>
      <c r="J1855" s="4"/>
      <c r="K1855" s="31"/>
    </row>
    <row r="1856" spans="1:11">
      <c r="A1856" s="18"/>
      <c r="C1856" s="1">
        <v>1</v>
      </c>
      <c r="D1856" s="5">
        <v>4.51</v>
      </c>
      <c r="E1856" s="5">
        <v>3.16</v>
      </c>
      <c r="F1856" s="1"/>
      <c r="G1856" s="4">
        <f>C1856*D1856*E1856</f>
        <v>14.2516</v>
      </c>
      <c r="H1856" s="1" t="s">
        <v>17</v>
      </c>
      <c r="I1856" s="9"/>
      <c r="J1856" s="4"/>
      <c r="K1856" s="31"/>
    </row>
    <row r="1857" spans="1:11">
      <c r="A1857" s="18"/>
      <c r="C1857" s="1">
        <v>1</v>
      </c>
      <c r="D1857" s="5">
        <v>4.7699999999999996</v>
      </c>
      <c r="E1857" s="5">
        <v>4.7699999999999996</v>
      </c>
      <c r="F1857" s="1"/>
      <c r="G1857" s="4">
        <f>C1857*D1857*E1857</f>
        <v>22.752899999999997</v>
      </c>
      <c r="H1857" s="1" t="s">
        <v>10</v>
      </c>
      <c r="I1857" s="9"/>
      <c r="J1857" s="4"/>
      <c r="K1857" s="31"/>
    </row>
    <row r="1858" spans="1:11">
      <c r="A1858" s="18"/>
      <c r="C1858" s="1">
        <v>1</v>
      </c>
      <c r="D1858" s="5">
        <v>3.62</v>
      </c>
      <c r="E1858" s="5">
        <v>1.35</v>
      </c>
      <c r="F1858" s="1"/>
      <c r="G1858" s="4">
        <f>C1858*D1858*E1858</f>
        <v>4.8870000000000005</v>
      </c>
      <c r="H1858" s="1" t="s">
        <v>10</v>
      </c>
      <c r="I1858" s="9"/>
      <c r="J1858" s="4"/>
      <c r="K1858" s="31"/>
    </row>
    <row r="1859" spans="1:11">
      <c r="A1859" s="18"/>
      <c r="C1859" s="1">
        <v>1</v>
      </c>
      <c r="D1859" s="5">
        <v>1.5</v>
      </c>
      <c r="E1859" s="5">
        <v>2.5</v>
      </c>
      <c r="F1859" s="1"/>
      <c r="G1859" s="4">
        <f>C1859*D1859*E1859</f>
        <v>3.75</v>
      </c>
      <c r="H1859" s="1" t="s">
        <v>10</v>
      </c>
      <c r="I1859" s="9"/>
      <c r="J1859" s="4"/>
      <c r="K1859" s="31"/>
    </row>
    <row r="1860" spans="1:11">
      <c r="A1860" s="18"/>
      <c r="C1860" s="1">
        <v>1</v>
      </c>
      <c r="D1860" s="5">
        <v>2.5</v>
      </c>
      <c r="E1860" s="5">
        <v>2.5</v>
      </c>
      <c r="F1860" s="1"/>
      <c r="G1860" s="4">
        <f>C1860*D1860*E1860</f>
        <v>6.25</v>
      </c>
      <c r="H1860" s="1" t="s">
        <v>10</v>
      </c>
      <c r="I1860" s="9"/>
      <c r="J1860" s="4"/>
      <c r="K1860" s="31"/>
    </row>
    <row r="1861" spans="1:11">
      <c r="A1861" s="18"/>
      <c r="B1861" s="46" t="s">
        <v>609</v>
      </c>
      <c r="C1861" s="1">
        <v>1</v>
      </c>
      <c r="D1861" s="5">
        <f>G885</f>
        <v>16</v>
      </c>
      <c r="E1861" s="5" t="s">
        <v>17</v>
      </c>
      <c r="F1861" s="2"/>
      <c r="G1861" s="4">
        <f>C1861*D1861</f>
        <v>16</v>
      </c>
      <c r="H1861" s="1" t="s">
        <v>10</v>
      </c>
      <c r="I1861" s="9"/>
      <c r="J1861" s="4"/>
      <c r="K1861" s="31"/>
    </row>
    <row r="1862" spans="1:11">
      <c r="A1862" s="18"/>
      <c r="B1862" s="46"/>
      <c r="C1862" s="46"/>
      <c r="D1862" s="2"/>
      <c r="E1862" s="2"/>
      <c r="F1862" s="2"/>
      <c r="G1862" s="4"/>
      <c r="H1862" s="1"/>
      <c r="I1862" s="9"/>
      <c r="J1862" s="4"/>
      <c r="K1862" s="31"/>
    </row>
    <row r="1863" spans="1:11">
      <c r="A1863" s="18"/>
      <c r="B1863" s="46"/>
      <c r="C1863" s="46"/>
      <c r="D1863" s="2"/>
      <c r="E1863" s="2"/>
      <c r="F1863" s="100" t="s">
        <v>11</v>
      </c>
      <c r="G1863" s="53">
        <f>SUM(G1856:G1862)</f>
        <v>67.891499999999994</v>
      </c>
      <c r="H1863" s="50" t="s">
        <v>17</v>
      </c>
      <c r="I1863" s="9"/>
      <c r="J1863" s="4"/>
      <c r="K1863" s="31"/>
    </row>
    <row r="1864" spans="1:11">
      <c r="A1864" s="18"/>
      <c r="B1864" s="9"/>
      <c r="C1864" s="46"/>
      <c r="D1864" s="2"/>
      <c r="E1864" s="2"/>
      <c r="F1864" s="75" t="s">
        <v>13</v>
      </c>
      <c r="G1864" s="27">
        <f>ROUNDUP(G1863,0)</f>
        <v>68</v>
      </c>
      <c r="H1864" s="28" t="s">
        <v>17</v>
      </c>
      <c r="I1864" s="9"/>
      <c r="J1864" s="4"/>
      <c r="K1864" s="31"/>
    </row>
    <row r="1865" spans="1:11">
      <c r="A1865" s="18"/>
      <c r="F1865" s="1"/>
      <c r="G1865" s="33"/>
      <c r="H1865" s="24"/>
      <c r="I1865" s="9"/>
      <c r="J1865" s="4"/>
      <c r="K1865" s="31"/>
    </row>
    <row r="1866" spans="1:11">
      <c r="A1866" s="18"/>
      <c r="B1866" s="15" t="s">
        <v>57</v>
      </c>
      <c r="F1866" s="1"/>
      <c r="G1866" s="33"/>
      <c r="H1866" s="24"/>
      <c r="I1866" s="9"/>
      <c r="J1866" s="4"/>
      <c r="K1866" s="31"/>
    </row>
    <row r="1867" spans="1:11">
      <c r="A1867" s="18"/>
      <c r="B1867" s="15"/>
      <c r="C1867" s="1">
        <v>1</v>
      </c>
      <c r="D1867" s="5">
        <v>9.77</v>
      </c>
      <c r="E1867" s="5">
        <v>4.7699999999999996</v>
      </c>
      <c r="F1867" s="1"/>
      <c r="G1867" s="4">
        <f>C1867*D1867*E1867</f>
        <v>46.602899999999991</v>
      </c>
      <c r="H1867" s="1" t="s">
        <v>17</v>
      </c>
      <c r="I1867" s="9"/>
      <c r="J1867" s="4"/>
      <c r="K1867" s="31"/>
    </row>
    <row r="1868" spans="1:11">
      <c r="A1868" s="18"/>
      <c r="C1868" s="1">
        <v>1</v>
      </c>
      <c r="D1868" s="5">
        <v>1.5</v>
      </c>
      <c r="E1868" s="5">
        <v>2.5</v>
      </c>
      <c r="F1868" s="1"/>
      <c r="G1868" s="4">
        <f>C1868*D1868*E1868</f>
        <v>3.75</v>
      </c>
      <c r="H1868" s="1" t="s">
        <v>10</v>
      </c>
      <c r="I1868" s="9"/>
      <c r="J1868" s="4"/>
      <c r="K1868" s="31"/>
    </row>
    <row r="1869" spans="1:11">
      <c r="A1869" s="18"/>
      <c r="C1869" s="1">
        <v>1</v>
      </c>
      <c r="D1869" s="5">
        <v>2.5</v>
      </c>
      <c r="E1869" s="5">
        <v>2.5</v>
      </c>
      <c r="F1869" s="1"/>
      <c r="G1869" s="4">
        <f>C1869*D1869*E1869</f>
        <v>6.25</v>
      </c>
      <c r="H1869" s="1" t="s">
        <v>10</v>
      </c>
      <c r="I1869" s="9"/>
      <c r="J1869" s="4"/>
      <c r="K1869" s="31"/>
    </row>
    <row r="1870" spans="1:11">
      <c r="A1870" s="18"/>
      <c r="B1870" s="46" t="s">
        <v>609</v>
      </c>
      <c r="C1870" s="1">
        <v>1</v>
      </c>
      <c r="D1870" s="5">
        <f>G893</f>
        <v>15.471</v>
      </c>
      <c r="E1870" s="5" t="s">
        <v>17</v>
      </c>
      <c r="F1870" s="2"/>
      <c r="G1870" s="4">
        <f>C1870*D1870</f>
        <v>15.471</v>
      </c>
      <c r="H1870" s="1" t="s">
        <v>10</v>
      </c>
      <c r="I1870" s="9"/>
      <c r="J1870" s="4"/>
      <c r="K1870" s="31"/>
    </row>
    <row r="1871" spans="1:11">
      <c r="A1871" s="18"/>
      <c r="B1871" s="46"/>
      <c r="C1871" s="46"/>
      <c r="D1871" s="2"/>
      <c r="E1871" s="2"/>
      <c r="F1871" s="2"/>
      <c r="G1871" s="4"/>
      <c r="H1871" s="1"/>
      <c r="I1871" s="9"/>
      <c r="J1871" s="4"/>
      <c r="K1871" s="31"/>
    </row>
    <row r="1872" spans="1:11">
      <c r="A1872" s="18"/>
      <c r="B1872" s="46"/>
      <c r="C1872" s="46"/>
      <c r="D1872" s="2"/>
      <c r="E1872" s="2"/>
      <c r="F1872" s="100" t="s">
        <v>11</v>
      </c>
      <c r="G1872" s="53">
        <f>SUM(G1867:G1871)</f>
        <v>72.073899999999995</v>
      </c>
      <c r="H1872" s="50" t="s">
        <v>17</v>
      </c>
      <c r="I1872" s="9"/>
      <c r="J1872" s="4"/>
      <c r="K1872" s="31"/>
    </row>
    <row r="1873" spans="1:11">
      <c r="A1873" s="18"/>
      <c r="B1873" s="9"/>
      <c r="C1873" s="46"/>
      <c r="D1873" s="2"/>
      <c r="E1873" s="2"/>
      <c r="F1873" s="75" t="s">
        <v>13</v>
      </c>
      <c r="G1873" s="27">
        <f>ROUNDUP(G1872,0)</f>
        <v>73</v>
      </c>
      <c r="H1873" s="28" t="s">
        <v>17</v>
      </c>
      <c r="I1873" s="9"/>
      <c r="J1873" s="4"/>
      <c r="K1873" s="31"/>
    </row>
    <row r="1874" spans="1:11">
      <c r="A1874" s="18"/>
      <c r="F1874" s="1"/>
      <c r="G1874" s="33"/>
      <c r="H1874" s="24"/>
      <c r="I1874" s="9"/>
      <c r="J1874" s="4"/>
      <c r="K1874" s="31"/>
    </row>
    <row r="1875" spans="1:11">
      <c r="A1875" s="18"/>
      <c r="B1875" s="15" t="s">
        <v>463</v>
      </c>
      <c r="F1875" s="1"/>
      <c r="G1875" s="33"/>
      <c r="H1875" s="24"/>
      <c r="I1875" s="9"/>
      <c r="J1875" s="4"/>
      <c r="K1875" s="31"/>
    </row>
    <row r="1876" spans="1:11">
      <c r="B1876" s="46" t="s">
        <v>610</v>
      </c>
      <c r="C1876" s="1">
        <v>1</v>
      </c>
      <c r="D1876" s="5">
        <v>2.27</v>
      </c>
      <c r="E1876" s="5">
        <v>4.7699999999999996</v>
      </c>
      <c r="F1876" s="1"/>
      <c r="G1876" s="4">
        <f>C1876*D1876*E1876</f>
        <v>10.8279</v>
      </c>
      <c r="H1876" s="1" t="s">
        <v>17</v>
      </c>
      <c r="I1876" s="9"/>
      <c r="J1876" s="4"/>
      <c r="K1876" s="31"/>
    </row>
    <row r="1877" spans="1:11">
      <c r="B1877" s="46"/>
      <c r="C1877" s="1">
        <v>1</v>
      </c>
      <c r="D1877" s="5">
        <f>(D1876+E1876)*2</f>
        <v>14.079999999999998</v>
      </c>
      <c r="E1877" s="31"/>
      <c r="F1877" s="5">
        <v>2.2999999999999998</v>
      </c>
      <c r="G1877" s="4">
        <f>C1877*D1877*F1877</f>
        <v>32.383999999999993</v>
      </c>
      <c r="H1877" s="1" t="s">
        <v>10</v>
      </c>
      <c r="I1877" s="9"/>
      <c r="J1877" s="4"/>
      <c r="K1877" s="31"/>
    </row>
    <row r="1878" spans="1:11">
      <c r="A1878" s="18"/>
      <c r="B1878" s="46" t="s">
        <v>611</v>
      </c>
      <c r="C1878" s="1">
        <v>1</v>
      </c>
      <c r="D1878" s="5">
        <v>2.27</v>
      </c>
      <c r="E1878" s="5">
        <v>4.7699999999999996</v>
      </c>
      <c r="F1878" s="1"/>
      <c r="G1878" s="4">
        <f>C1878*D1878*E1878</f>
        <v>10.8279</v>
      </c>
      <c r="H1878" s="1" t="s">
        <v>10</v>
      </c>
      <c r="I1878" s="9"/>
      <c r="J1878" s="4"/>
      <c r="K1878" s="31"/>
    </row>
    <row r="1879" spans="1:11">
      <c r="A1879" s="18"/>
      <c r="B1879" s="46"/>
      <c r="C1879" s="1">
        <v>1</v>
      </c>
      <c r="D1879" s="5">
        <f>(D1878+E1878)*2</f>
        <v>14.079999999999998</v>
      </c>
      <c r="E1879" s="31"/>
      <c r="F1879" s="5">
        <v>2.2999999999999998</v>
      </c>
      <c r="G1879" s="4">
        <f>C1879*D1879*F1879</f>
        <v>32.383999999999993</v>
      </c>
      <c r="H1879" s="1" t="s">
        <v>10</v>
      </c>
      <c r="I1879" s="9"/>
      <c r="J1879" s="4"/>
      <c r="K1879" s="31"/>
    </row>
    <row r="1880" spans="1:11">
      <c r="A1880" s="18"/>
      <c r="B1880" s="46"/>
      <c r="C1880" s="46"/>
      <c r="D1880" s="2"/>
      <c r="E1880" s="2"/>
      <c r="F1880" s="2"/>
      <c r="G1880" s="4"/>
      <c r="H1880" s="1"/>
      <c r="I1880" s="9"/>
      <c r="J1880" s="4"/>
      <c r="K1880" s="31"/>
    </row>
    <row r="1881" spans="1:11">
      <c r="A1881" s="18"/>
      <c r="B1881" s="46"/>
      <c r="C1881" s="46"/>
      <c r="D1881" s="2"/>
      <c r="E1881" s="2"/>
      <c r="F1881" s="100" t="s">
        <v>11</v>
      </c>
      <c r="G1881" s="53">
        <f>SUM(G1876:G1880)</f>
        <v>86.423799999999986</v>
      </c>
      <c r="H1881" s="50" t="s">
        <v>17</v>
      </c>
      <c r="I1881" s="9"/>
      <c r="J1881" s="4"/>
      <c r="K1881" s="31"/>
    </row>
    <row r="1882" spans="1:11">
      <c r="A1882" s="18"/>
      <c r="B1882" s="9"/>
      <c r="C1882" s="46"/>
      <c r="D1882" s="2"/>
      <c r="E1882" s="2"/>
      <c r="F1882" s="75" t="s">
        <v>13</v>
      </c>
      <c r="G1882" s="27">
        <f>ROUNDUP(G1881,0)</f>
        <v>87</v>
      </c>
      <c r="H1882" s="28" t="s">
        <v>17</v>
      </c>
      <c r="I1882" s="9"/>
      <c r="J1882" s="4"/>
      <c r="K1882" s="31"/>
    </row>
    <row r="1883" spans="1:11">
      <c r="A1883" s="18"/>
      <c r="F1883" s="1"/>
      <c r="G1883" s="33"/>
      <c r="H1883" s="24"/>
      <c r="I1883" s="9"/>
      <c r="J1883" s="4"/>
      <c r="K1883" s="31"/>
    </row>
    <row r="1884" spans="1:11">
      <c r="A1884" s="18"/>
      <c r="F1884" s="1"/>
      <c r="G1884" s="33"/>
      <c r="H1884" s="24"/>
      <c r="I1884" s="9"/>
      <c r="J1884" s="4"/>
      <c r="K1884" s="31"/>
    </row>
    <row r="1885" spans="1:11" ht="55.2">
      <c r="A1885" s="18">
        <f>A1844+1</f>
        <v>53</v>
      </c>
      <c r="B1885" s="6" t="s">
        <v>563</v>
      </c>
      <c r="F1885" s="1"/>
      <c r="G1885" s="33"/>
      <c r="H1885" s="24"/>
      <c r="I1885" s="9"/>
      <c r="J1885" s="4"/>
      <c r="K1885" s="31"/>
    </row>
    <row r="1886" spans="1:11">
      <c r="A1886" s="18"/>
      <c r="B1886" s="15" t="s">
        <v>56</v>
      </c>
      <c r="C1886" s="57">
        <f t="shared" ref="C1886:C1912" si="115">2*C233</f>
        <v>14</v>
      </c>
      <c r="D1886" s="83">
        <f t="shared" ref="D1886:D1912" si="116">D233</f>
        <v>5</v>
      </c>
      <c r="F1886" s="1"/>
      <c r="G1886" s="4">
        <f>C1886*D1886</f>
        <v>70</v>
      </c>
      <c r="H1886" s="24"/>
      <c r="I1886" s="9"/>
      <c r="J1886" s="4"/>
      <c r="K1886" s="31"/>
    </row>
    <row r="1887" spans="1:11">
      <c r="A1887" s="18"/>
      <c r="C1887" s="57">
        <f t="shared" si="115"/>
        <v>4</v>
      </c>
      <c r="D1887" s="83">
        <f t="shared" si="116"/>
        <v>2.6</v>
      </c>
      <c r="F1887" s="1"/>
      <c r="G1887" s="4">
        <f t="shared" ref="G1887:G1912" si="117">C1887*D1887</f>
        <v>10.4</v>
      </c>
      <c r="H1887" s="24"/>
      <c r="I1887" s="9"/>
      <c r="J1887" s="4"/>
      <c r="K1887" s="31"/>
    </row>
    <row r="1888" spans="1:11">
      <c r="A1888" s="18"/>
      <c r="C1888" s="57">
        <f t="shared" si="115"/>
        <v>4</v>
      </c>
      <c r="D1888" s="83">
        <f t="shared" si="116"/>
        <v>28.73</v>
      </c>
      <c r="F1888" s="1"/>
      <c r="G1888" s="4">
        <f t="shared" si="117"/>
        <v>114.92</v>
      </c>
      <c r="H1888" s="24"/>
      <c r="I1888" s="9"/>
      <c r="J1888" s="4"/>
      <c r="K1888" s="31"/>
    </row>
    <row r="1889" spans="1:11">
      <c r="A1889" s="18"/>
      <c r="C1889" s="57">
        <f t="shared" si="115"/>
        <v>2</v>
      </c>
      <c r="D1889" s="83">
        <f t="shared" si="116"/>
        <v>3.7</v>
      </c>
      <c r="F1889" s="1"/>
      <c r="G1889" s="4">
        <f t="shared" si="117"/>
        <v>7.4</v>
      </c>
      <c r="H1889" s="24"/>
      <c r="I1889" s="9"/>
      <c r="J1889" s="4"/>
      <c r="K1889" s="31"/>
    </row>
    <row r="1890" spans="1:11">
      <c r="A1890" s="18"/>
      <c r="C1890" s="57">
        <f t="shared" si="115"/>
        <v>2</v>
      </c>
      <c r="D1890" s="83">
        <f t="shared" si="116"/>
        <v>3.2</v>
      </c>
      <c r="F1890" s="1"/>
      <c r="G1890" s="4">
        <f t="shared" si="117"/>
        <v>6.4</v>
      </c>
      <c r="H1890" s="24"/>
      <c r="I1890" s="9"/>
      <c r="J1890" s="4"/>
      <c r="K1890" s="31"/>
    </row>
    <row r="1891" spans="1:11">
      <c r="A1891" s="18"/>
      <c r="C1891" s="57">
        <f t="shared" si="115"/>
        <v>0</v>
      </c>
      <c r="D1891" s="83">
        <f t="shared" si="116"/>
        <v>0</v>
      </c>
      <c r="F1891" s="1"/>
      <c r="G1891" s="4">
        <f t="shared" si="117"/>
        <v>0</v>
      </c>
      <c r="H1891" s="24"/>
      <c r="I1891" s="9"/>
      <c r="J1891" s="4"/>
      <c r="K1891" s="31"/>
    </row>
    <row r="1892" spans="1:11">
      <c r="A1892" s="18"/>
      <c r="C1892" s="57">
        <f t="shared" si="115"/>
        <v>8</v>
      </c>
      <c r="D1892" s="83">
        <f t="shared" si="116"/>
        <v>5.2</v>
      </c>
      <c r="F1892" s="1"/>
      <c r="G1892" s="4">
        <f t="shared" si="117"/>
        <v>41.6</v>
      </c>
      <c r="H1892" s="24"/>
      <c r="I1892" s="9"/>
      <c r="J1892" s="4"/>
      <c r="K1892" s="31"/>
    </row>
    <row r="1893" spans="1:11">
      <c r="A1893" s="18"/>
      <c r="C1893" s="57">
        <f t="shared" si="115"/>
        <v>8</v>
      </c>
      <c r="D1893" s="83">
        <f t="shared" si="116"/>
        <v>5.2</v>
      </c>
      <c r="F1893" s="1"/>
      <c r="G1893" s="4">
        <f t="shared" si="117"/>
        <v>41.6</v>
      </c>
      <c r="H1893" s="24"/>
      <c r="I1893" s="9"/>
      <c r="J1893" s="4"/>
      <c r="K1893" s="31"/>
    </row>
    <row r="1894" spans="1:11">
      <c r="A1894" s="18"/>
      <c r="C1894" s="57">
        <f t="shared" si="115"/>
        <v>8</v>
      </c>
      <c r="D1894" s="83">
        <f t="shared" si="116"/>
        <v>5.2</v>
      </c>
      <c r="F1894" s="1"/>
      <c r="G1894" s="4">
        <f t="shared" si="117"/>
        <v>41.6</v>
      </c>
      <c r="H1894" s="24"/>
      <c r="I1894" s="9"/>
      <c r="J1894" s="4"/>
      <c r="K1894" s="31"/>
    </row>
    <row r="1895" spans="1:11">
      <c r="A1895" s="18"/>
      <c r="C1895" s="57">
        <f t="shared" si="115"/>
        <v>8</v>
      </c>
      <c r="D1895" s="83">
        <f t="shared" si="116"/>
        <v>3</v>
      </c>
      <c r="F1895" s="1"/>
      <c r="G1895" s="4">
        <f t="shared" si="117"/>
        <v>24</v>
      </c>
      <c r="H1895" s="24"/>
      <c r="I1895" s="9"/>
      <c r="J1895" s="4"/>
      <c r="K1895" s="31"/>
    </row>
    <row r="1896" spans="1:11">
      <c r="A1896" s="18"/>
      <c r="C1896" s="57">
        <f t="shared" si="115"/>
        <v>2</v>
      </c>
      <c r="D1896" s="83">
        <f t="shared" si="116"/>
        <v>3</v>
      </c>
      <c r="F1896" s="1"/>
      <c r="G1896" s="4">
        <f t="shared" si="117"/>
        <v>6</v>
      </c>
      <c r="H1896" s="24"/>
      <c r="I1896" s="9"/>
      <c r="J1896" s="4"/>
      <c r="K1896" s="31"/>
    </row>
    <row r="1897" spans="1:11">
      <c r="A1897" s="18"/>
      <c r="C1897" s="57">
        <f t="shared" si="115"/>
        <v>6</v>
      </c>
      <c r="D1897" s="83">
        <f t="shared" si="116"/>
        <v>2.2000000000000002</v>
      </c>
      <c r="F1897" s="1"/>
      <c r="G1897" s="4">
        <f t="shared" si="117"/>
        <v>13.200000000000001</v>
      </c>
      <c r="H1897" s="24"/>
      <c r="I1897" s="9"/>
      <c r="J1897" s="4"/>
      <c r="K1897" s="31"/>
    </row>
    <row r="1898" spans="1:11">
      <c r="A1898" s="18"/>
      <c r="C1898" s="57">
        <f t="shared" si="115"/>
        <v>2</v>
      </c>
      <c r="D1898" s="83">
        <f t="shared" si="116"/>
        <v>2.2000000000000002</v>
      </c>
      <c r="F1898" s="1"/>
      <c r="G1898" s="4">
        <f t="shared" si="117"/>
        <v>4.4000000000000004</v>
      </c>
      <c r="H1898" s="24"/>
      <c r="I1898" s="9"/>
      <c r="J1898" s="4"/>
      <c r="K1898" s="31"/>
    </row>
    <row r="1899" spans="1:11">
      <c r="A1899" s="18"/>
      <c r="C1899" s="57">
        <f t="shared" si="115"/>
        <v>6</v>
      </c>
      <c r="D1899" s="83">
        <f t="shared" si="116"/>
        <v>5.2</v>
      </c>
      <c r="F1899" s="1"/>
      <c r="G1899" s="4">
        <f t="shared" si="117"/>
        <v>31.200000000000003</v>
      </c>
      <c r="H1899" s="24"/>
      <c r="I1899" s="9"/>
      <c r="J1899" s="4"/>
      <c r="K1899" s="31"/>
    </row>
    <row r="1900" spans="1:11">
      <c r="A1900" s="18"/>
      <c r="C1900" s="57">
        <f t="shared" si="115"/>
        <v>10</v>
      </c>
      <c r="D1900" s="83">
        <f t="shared" si="116"/>
        <v>2.5</v>
      </c>
      <c r="F1900" s="1"/>
      <c r="G1900" s="4">
        <f t="shared" si="117"/>
        <v>25</v>
      </c>
      <c r="H1900" s="24"/>
      <c r="I1900" s="9"/>
      <c r="J1900" s="4"/>
      <c r="K1900" s="31"/>
    </row>
    <row r="1901" spans="1:11">
      <c r="A1901" s="18"/>
      <c r="C1901" s="57">
        <f t="shared" si="115"/>
        <v>10</v>
      </c>
      <c r="D1901" s="83">
        <f t="shared" si="116"/>
        <v>2.5</v>
      </c>
      <c r="F1901" s="1"/>
      <c r="G1901" s="4">
        <f t="shared" si="117"/>
        <v>25</v>
      </c>
      <c r="H1901" s="24"/>
      <c r="I1901" s="9"/>
      <c r="J1901" s="4"/>
      <c r="K1901" s="31"/>
    </row>
    <row r="1902" spans="1:11">
      <c r="A1902" s="18"/>
      <c r="C1902" s="57">
        <f t="shared" si="115"/>
        <v>14</v>
      </c>
      <c r="D1902" s="83">
        <f t="shared" si="116"/>
        <v>5</v>
      </c>
      <c r="F1902" s="1"/>
      <c r="G1902" s="4">
        <f t="shared" si="117"/>
        <v>70</v>
      </c>
      <c r="H1902" s="24"/>
      <c r="I1902" s="9"/>
      <c r="J1902" s="4"/>
      <c r="K1902" s="31"/>
    </row>
    <row r="1903" spans="1:11">
      <c r="A1903" s="18"/>
      <c r="C1903" s="57">
        <f t="shared" si="115"/>
        <v>14</v>
      </c>
      <c r="D1903" s="83">
        <f t="shared" si="116"/>
        <v>5</v>
      </c>
      <c r="F1903" s="1"/>
      <c r="G1903" s="4">
        <f t="shared" si="117"/>
        <v>70</v>
      </c>
      <c r="H1903" s="24"/>
      <c r="I1903" s="9"/>
      <c r="J1903" s="4"/>
      <c r="K1903" s="31"/>
    </row>
    <row r="1904" spans="1:11">
      <c r="A1904" s="18"/>
      <c r="C1904" s="57">
        <f t="shared" si="115"/>
        <v>4</v>
      </c>
      <c r="D1904" s="83">
        <f t="shared" si="116"/>
        <v>0.79</v>
      </c>
      <c r="F1904" s="1"/>
      <c r="G1904" s="4">
        <f t="shared" si="117"/>
        <v>3.16</v>
      </c>
      <c r="H1904" s="24"/>
      <c r="I1904" s="9"/>
      <c r="J1904" s="4"/>
      <c r="K1904" s="31"/>
    </row>
    <row r="1905" spans="1:11">
      <c r="A1905" s="18"/>
      <c r="C1905" s="57">
        <f t="shared" si="115"/>
        <v>4</v>
      </c>
      <c r="D1905" s="83">
        <f t="shared" si="116"/>
        <v>1.2</v>
      </c>
      <c r="F1905" s="1"/>
      <c r="G1905" s="4">
        <f t="shared" si="117"/>
        <v>4.8</v>
      </c>
      <c r="H1905" s="24"/>
      <c r="I1905" s="9"/>
      <c r="J1905" s="4"/>
      <c r="K1905" s="31"/>
    </row>
    <row r="1906" spans="1:11">
      <c r="A1906" s="18"/>
      <c r="C1906" s="57">
        <f t="shared" si="115"/>
        <v>22</v>
      </c>
      <c r="D1906" s="83">
        <f t="shared" si="116"/>
        <v>4.5</v>
      </c>
      <c r="F1906" s="1"/>
      <c r="G1906" s="4">
        <f t="shared" si="117"/>
        <v>99</v>
      </c>
      <c r="H1906" s="24"/>
      <c r="I1906" s="9"/>
      <c r="J1906" s="4"/>
      <c r="K1906" s="31"/>
    </row>
    <row r="1907" spans="1:11">
      <c r="A1907" s="18"/>
      <c r="C1907" s="57">
        <f t="shared" si="115"/>
        <v>20</v>
      </c>
      <c r="D1907" s="83">
        <f t="shared" si="116"/>
        <v>4.5</v>
      </c>
      <c r="F1907" s="1"/>
      <c r="G1907" s="4">
        <f t="shared" si="117"/>
        <v>90</v>
      </c>
      <c r="H1907" s="24"/>
      <c r="I1907" s="9"/>
      <c r="J1907" s="4"/>
      <c r="K1907" s="31"/>
    </row>
    <row r="1908" spans="1:11">
      <c r="A1908" s="18"/>
      <c r="C1908" s="57">
        <f t="shared" si="115"/>
        <v>12</v>
      </c>
      <c r="D1908" s="83">
        <f t="shared" si="116"/>
        <v>2.5</v>
      </c>
      <c r="F1908" s="1"/>
      <c r="G1908" s="4">
        <f t="shared" si="117"/>
        <v>30</v>
      </c>
      <c r="H1908" s="24"/>
      <c r="I1908" s="9"/>
      <c r="J1908" s="4"/>
      <c r="K1908" s="31"/>
    </row>
    <row r="1909" spans="1:11">
      <c r="A1909" s="18"/>
      <c r="C1909" s="57">
        <f t="shared" si="115"/>
        <v>12</v>
      </c>
      <c r="D1909" s="83">
        <f t="shared" si="116"/>
        <v>2.5</v>
      </c>
      <c r="F1909" s="1"/>
      <c r="G1909" s="4">
        <f t="shared" si="117"/>
        <v>30</v>
      </c>
      <c r="H1909" s="24"/>
      <c r="I1909" s="9"/>
      <c r="J1909" s="4"/>
      <c r="K1909" s="31"/>
    </row>
    <row r="1910" spans="1:11">
      <c r="A1910" s="18"/>
      <c r="C1910" s="57">
        <f t="shared" si="115"/>
        <v>10</v>
      </c>
      <c r="D1910" s="83">
        <f t="shared" si="116"/>
        <v>1.25</v>
      </c>
      <c r="F1910" s="1"/>
      <c r="G1910" s="4">
        <f t="shared" si="117"/>
        <v>12.5</v>
      </c>
      <c r="H1910" s="24"/>
      <c r="I1910" s="9"/>
      <c r="J1910" s="4"/>
      <c r="K1910" s="31"/>
    </row>
    <row r="1911" spans="1:11">
      <c r="A1911" s="18"/>
      <c r="C1911" s="57">
        <f t="shared" si="115"/>
        <v>10</v>
      </c>
      <c r="D1911" s="83">
        <f t="shared" si="116"/>
        <v>3.75</v>
      </c>
      <c r="F1911" s="1"/>
      <c r="G1911" s="4">
        <f t="shared" si="117"/>
        <v>37.5</v>
      </c>
      <c r="H1911" s="24"/>
      <c r="I1911" s="9"/>
      <c r="J1911" s="4"/>
      <c r="K1911" s="31"/>
    </row>
    <row r="1912" spans="1:11">
      <c r="A1912" s="18"/>
      <c r="C1912" s="57">
        <f t="shared" si="115"/>
        <v>8</v>
      </c>
      <c r="D1912" s="83">
        <f t="shared" si="116"/>
        <v>3.5</v>
      </c>
      <c r="F1912" s="1"/>
      <c r="G1912" s="4">
        <f t="shared" si="117"/>
        <v>28</v>
      </c>
      <c r="H1912" s="24"/>
      <c r="I1912" s="9"/>
      <c r="J1912" s="4"/>
      <c r="K1912" s="31"/>
    </row>
    <row r="1913" spans="1:11">
      <c r="A1913" s="18"/>
      <c r="F1913" s="1"/>
      <c r="G1913" s="33"/>
      <c r="H1913" s="24"/>
      <c r="I1913" s="9"/>
      <c r="J1913" s="4"/>
      <c r="K1913" s="31"/>
    </row>
    <row r="1914" spans="1:11">
      <c r="A1914" s="18"/>
      <c r="F1914" s="34" t="s">
        <v>11</v>
      </c>
      <c r="G1914" s="53">
        <f>SUM(G1886:G1913)</f>
        <v>937.68</v>
      </c>
      <c r="H1914" s="50" t="s">
        <v>49</v>
      </c>
      <c r="I1914" s="9"/>
      <c r="J1914" s="4"/>
      <c r="K1914" s="31"/>
    </row>
    <row r="1915" spans="1:11">
      <c r="A1915" s="18"/>
      <c r="F1915" s="56" t="s">
        <v>13</v>
      </c>
      <c r="G1915" s="27">
        <f>ROUNDUP(G1914,0)</f>
        <v>938</v>
      </c>
      <c r="H1915" s="28" t="s">
        <v>49</v>
      </c>
      <c r="I1915" s="9"/>
      <c r="J1915" s="4"/>
      <c r="K1915" s="31"/>
    </row>
    <row r="1916" spans="1:11">
      <c r="A1916" s="18"/>
      <c r="F1916" s="1"/>
      <c r="G1916" s="33"/>
      <c r="H1916" s="24"/>
      <c r="I1916" s="9"/>
      <c r="J1916" s="4"/>
      <c r="K1916" s="31"/>
    </row>
    <row r="1917" spans="1:11">
      <c r="A1917" s="18"/>
      <c r="B1917" s="15" t="s">
        <v>445</v>
      </c>
      <c r="F1917" s="1"/>
      <c r="G1917" s="33"/>
      <c r="H1917" s="24"/>
      <c r="I1917" s="9"/>
      <c r="J1917" s="4"/>
      <c r="K1917" s="31"/>
    </row>
    <row r="1918" spans="1:11">
      <c r="A1918" s="18"/>
      <c r="C1918" s="57">
        <f t="shared" ref="C1918:C1940" si="118">2*C266</f>
        <v>6</v>
      </c>
      <c r="D1918" s="83">
        <f t="shared" ref="D1918:D1940" si="119">D266</f>
        <v>5.2</v>
      </c>
      <c r="F1918" s="1"/>
      <c r="G1918" s="4">
        <f>C1918*D1918</f>
        <v>31.200000000000003</v>
      </c>
      <c r="H1918" s="24"/>
      <c r="I1918" s="9"/>
      <c r="J1918" s="4"/>
      <c r="K1918" s="31"/>
    </row>
    <row r="1919" spans="1:11">
      <c r="A1919" s="18"/>
      <c r="C1919" s="57">
        <f t="shared" si="118"/>
        <v>6</v>
      </c>
      <c r="D1919" s="83">
        <f t="shared" si="119"/>
        <v>5.2</v>
      </c>
      <c r="F1919" s="1"/>
      <c r="G1919" s="4">
        <f t="shared" ref="G1919:G1940" si="120">C1919*D1919</f>
        <v>31.200000000000003</v>
      </c>
      <c r="H1919" s="24"/>
      <c r="I1919" s="9"/>
      <c r="J1919" s="4"/>
      <c r="K1919" s="31"/>
    </row>
    <row r="1920" spans="1:11">
      <c r="A1920" s="18"/>
      <c r="C1920" s="57">
        <f t="shared" si="118"/>
        <v>8</v>
      </c>
      <c r="D1920" s="83">
        <f t="shared" si="119"/>
        <v>5.2</v>
      </c>
      <c r="F1920" s="1"/>
      <c r="G1920" s="4">
        <f t="shared" si="120"/>
        <v>41.6</v>
      </c>
      <c r="H1920" s="24"/>
      <c r="I1920" s="9"/>
      <c r="J1920" s="4"/>
      <c r="K1920" s="31"/>
    </row>
    <row r="1921" spans="1:11">
      <c r="A1921" s="18"/>
      <c r="C1921" s="57">
        <f t="shared" si="118"/>
        <v>8</v>
      </c>
      <c r="D1921" s="83">
        <f t="shared" si="119"/>
        <v>3</v>
      </c>
      <c r="F1921" s="1"/>
      <c r="G1921" s="4">
        <f t="shared" si="120"/>
        <v>24</v>
      </c>
      <c r="H1921" s="24"/>
      <c r="I1921" s="9"/>
      <c r="J1921" s="4"/>
      <c r="K1921" s="31"/>
    </row>
    <row r="1922" spans="1:11">
      <c r="A1922" s="18"/>
      <c r="C1922" s="57">
        <f t="shared" si="118"/>
        <v>2</v>
      </c>
      <c r="D1922" s="83">
        <f t="shared" si="119"/>
        <v>3</v>
      </c>
      <c r="F1922" s="1"/>
      <c r="G1922" s="4">
        <f t="shared" si="120"/>
        <v>6</v>
      </c>
      <c r="H1922" s="24"/>
      <c r="I1922" s="9"/>
      <c r="J1922" s="4"/>
      <c r="K1922" s="31"/>
    </row>
    <row r="1923" spans="1:11">
      <c r="A1923" s="18"/>
      <c r="C1923" s="57">
        <f t="shared" si="118"/>
        <v>6</v>
      </c>
      <c r="D1923" s="83">
        <f t="shared" si="119"/>
        <v>2.2000000000000002</v>
      </c>
      <c r="F1923" s="1"/>
      <c r="G1923" s="4">
        <f t="shared" si="120"/>
        <v>13.200000000000001</v>
      </c>
      <c r="H1923" s="24"/>
      <c r="I1923" s="9"/>
      <c r="J1923" s="4"/>
      <c r="K1923" s="31"/>
    </row>
    <row r="1924" spans="1:11">
      <c r="A1924" s="18"/>
      <c r="C1924" s="57">
        <f t="shared" si="118"/>
        <v>2</v>
      </c>
      <c r="D1924" s="83">
        <f t="shared" si="119"/>
        <v>2.2000000000000002</v>
      </c>
      <c r="F1924" s="1"/>
      <c r="G1924" s="4">
        <f t="shared" si="120"/>
        <v>4.4000000000000004</v>
      </c>
      <c r="H1924" s="24"/>
      <c r="I1924" s="9"/>
      <c r="J1924" s="4"/>
      <c r="K1924" s="31"/>
    </row>
    <row r="1925" spans="1:11">
      <c r="A1925" s="18"/>
      <c r="C1925" s="57">
        <f t="shared" si="118"/>
        <v>6</v>
      </c>
      <c r="D1925" s="83">
        <f t="shared" si="119"/>
        <v>5.2</v>
      </c>
      <c r="F1925" s="1"/>
      <c r="G1925" s="4">
        <f t="shared" si="120"/>
        <v>31.200000000000003</v>
      </c>
      <c r="H1925" s="24"/>
      <c r="I1925" s="9"/>
      <c r="J1925" s="4"/>
      <c r="K1925" s="31"/>
    </row>
    <row r="1926" spans="1:11">
      <c r="A1926" s="18"/>
      <c r="C1926" s="57">
        <f t="shared" si="118"/>
        <v>10</v>
      </c>
      <c r="D1926" s="83">
        <f t="shared" si="119"/>
        <v>2.5</v>
      </c>
      <c r="F1926" s="1"/>
      <c r="G1926" s="4">
        <f t="shared" si="120"/>
        <v>25</v>
      </c>
      <c r="H1926" s="24"/>
      <c r="I1926" s="9"/>
      <c r="J1926" s="4"/>
      <c r="K1926" s="31"/>
    </row>
    <row r="1927" spans="1:11">
      <c r="A1927" s="18"/>
      <c r="C1927" s="57">
        <f t="shared" si="118"/>
        <v>10</v>
      </c>
      <c r="D1927" s="83">
        <f t="shared" si="119"/>
        <v>2.5</v>
      </c>
      <c r="F1927" s="1"/>
      <c r="G1927" s="4">
        <f t="shared" si="120"/>
        <v>25</v>
      </c>
      <c r="H1927" s="24"/>
      <c r="I1927" s="9"/>
      <c r="J1927" s="4"/>
      <c r="K1927" s="31"/>
    </row>
    <row r="1928" spans="1:11">
      <c r="A1928" s="18"/>
      <c r="C1928" s="57">
        <f t="shared" si="118"/>
        <v>12</v>
      </c>
      <c r="D1928" s="83">
        <f t="shared" si="119"/>
        <v>5</v>
      </c>
      <c r="F1928" s="1"/>
      <c r="G1928" s="4">
        <f t="shared" si="120"/>
        <v>60</v>
      </c>
      <c r="H1928" s="24"/>
      <c r="I1928" s="9"/>
      <c r="J1928" s="4"/>
      <c r="K1928" s="31"/>
    </row>
    <row r="1929" spans="1:11">
      <c r="A1929" s="18"/>
      <c r="C1929" s="57">
        <f t="shared" si="118"/>
        <v>12</v>
      </c>
      <c r="D1929" s="83">
        <f t="shared" si="119"/>
        <v>5</v>
      </c>
      <c r="F1929" s="1"/>
      <c r="G1929" s="4">
        <f t="shared" si="120"/>
        <v>60</v>
      </c>
      <c r="H1929" s="24"/>
      <c r="I1929" s="9"/>
      <c r="J1929" s="4"/>
      <c r="K1929" s="31"/>
    </row>
    <row r="1930" spans="1:11">
      <c r="A1930" s="18"/>
      <c r="C1930" s="57">
        <f t="shared" si="118"/>
        <v>6</v>
      </c>
      <c r="D1930" s="83">
        <f t="shared" si="119"/>
        <v>1.2749999999999999</v>
      </c>
      <c r="F1930" s="1"/>
      <c r="G1930" s="4">
        <f t="shared" si="120"/>
        <v>7.6499999999999995</v>
      </c>
      <c r="H1930" s="24"/>
      <c r="I1930" s="9"/>
      <c r="J1930" s="4"/>
      <c r="K1930" s="31"/>
    </row>
    <row r="1931" spans="1:11">
      <c r="A1931" s="18"/>
      <c r="C1931" s="57">
        <f t="shared" si="118"/>
        <v>4</v>
      </c>
      <c r="D1931" s="83">
        <f t="shared" si="119"/>
        <v>0.79</v>
      </c>
      <c r="F1931" s="1"/>
      <c r="G1931" s="4">
        <f t="shared" si="120"/>
        <v>3.16</v>
      </c>
      <c r="H1931" s="24"/>
      <c r="I1931" s="9"/>
      <c r="J1931" s="4"/>
      <c r="K1931" s="31"/>
    </row>
    <row r="1932" spans="1:11">
      <c r="A1932" s="18"/>
      <c r="C1932" s="57">
        <f t="shared" si="118"/>
        <v>4</v>
      </c>
      <c r="D1932" s="83">
        <f t="shared" si="119"/>
        <v>1.2</v>
      </c>
      <c r="F1932" s="1"/>
      <c r="G1932" s="4">
        <f t="shared" si="120"/>
        <v>4.8</v>
      </c>
      <c r="H1932" s="24"/>
      <c r="I1932" s="9"/>
      <c r="J1932" s="4"/>
      <c r="K1932" s="31"/>
    </row>
    <row r="1933" spans="1:11">
      <c r="A1933" s="18"/>
      <c r="C1933" s="57">
        <f t="shared" si="118"/>
        <v>20</v>
      </c>
      <c r="D1933" s="83">
        <f t="shared" si="119"/>
        <v>4.5</v>
      </c>
      <c r="F1933" s="1"/>
      <c r="G1933" s="4">
        <f t="shared" si="120"/>
        <v>90</v>
      </c>
      <c r="H1933" s="24"/>
      <c r="I1933" s="9"/>
      <c r="J1933" s="4"/>
      <c r="K1933" s="31"/>
    </row>
    <row r="1934" spans="1:11">
      <c r="A1934" s="18"/>
      <c r="C1934" s="57">
        <f t="shared" si="118"/>
        <v>20</v>
      </c>
      <c r="D1934" s="83">
        <f t="shared" si="119"/>
        <v>4.5</v>
      </c>
      <c r="F1934" s="1"/>
      <c r="G1934" s="4">
        <f t="shared" si="120"/>
        <v>90</v>
      </c>
      <c r="H1934" s="24"/>
      <c r="I1934" s="9"/>
      <c r="J1934" s="4"/>
      <c r="K1934" s="31"/>
    </row>
    <row r="1935" spans="1:11">
      <c r="A1935" s="18"/>
      <c r="C1935" s="57">
        <f t="shared" si="118"/>
        <v>8</v>
      </c>
      <c r="D1935" s="83">
        <f t="shared" si="119"/>
        <v>2.5</v>
      </c>
      <c r="F1935" s="1"/>
      <c r="G1935" s="4">
        <f t="shared" si="120"/>
        <v>20</v>
      </c>
      <c r="H1935" s="24"/>
      <c r="I1935" s="9"/>
      <c r="J1935" s="4"/>
      <c r="K1935" s="31"/>
    </row>
    <row r="1936" spans="1:11">
      <c r="A1936" s="18"/>
      <c r="C1936" s="57">
        <f t="shared" si="118"/>
        <v>8</v>
      </c>
      <c r="D1936" s="83">
        <f t="shared" si="119"/>
        <v>2.5</v>
      </c>
      <c r="F1936" s="1"/>
      <c r="G1936" s="4">
        <f t="shared" si="120"/>
        <v>20</v>
      </c>
      <c r="H1936" s="24"/>
      <c r="I1936" s="9"/>
      <c r="J1936" s="4"/>
      <c r="K1936" s="31"/>
    </row>
    <row r="1937" spans="1:11">
      <c r="A1937" s="18"/>
      <c r="C1937" s="57">
        <f t="shared" si="118"/>
        <v>8</v>
      </c>
      <c r="D1937" s="83">
        <f t="shared" si="119"/>
        <v>1.25</v>
      </c>
      <c r="F1937" s="1"/>
      <c r="G1937" s="4">
        <f t="shared" si="120"/>
        <v>10</v>
      </c>
      <c r="H1937" s="24"/>
      <c r="I1937" s="9"/>
      <c r="J1937" s="4"/>
      <c r="K1937" s="31"/>
    </row>
    <row r="1938" spans="1:11">
      <c r="A1938" s="18"/>
      <c r="C1938" s="57">
        <f t="shared" si="118"/>
        <v>8</v>
      </c>
      <c r="D1938" s="83">
        <f t="shared" si="119"/>
        <v>3.75</v>
      </c>
      <c r="F1938" s="1"/>
      <c r="G1938" s="4">
        <f t="shared" si="120"/>
        <v>30</v>
      </c>
      <c r="H1938" s="24"/>
      <c r="I1938" s="9"/>
      <c r="J1938" s="4"/>
      <c r="K1938" s="31"/>
    </row>
    <row r="1939" spans="1:11">
      <c r="A1939" s="18"/>
      <c r="C1939" s="57">
        <f t="shared" si="118"/>
        <v>12</v>
      </c>
      <c r="D1939" s="83">
        <f t="shared" si="119"/>
        <v>10</v>
      </c>
      <c r="F1939" s="1"/>
      <c r="G1939" s="4">
        <f t="shared" si="120"/>
        <v>120</v>
      </c>
      <c r="H1939" s="24"/>
      <c r="I1939" s="9"/>
      <c r="J1939" s="4"/>
      <c r="K1939" s="31"/>
    </row>
    <row r="1940" spans="1:11">
      <c r="A1940" s="18"/>
      <c r="C1940" s="57">
        <f t="shared" si="118"/>
        <v>4</v>
      </c>
      <c r="D1940" s="83">
        <f t="shared" si="119"/>
        <v>26</v>
      </c>
      <c r="F1940" s="1"/>
      <c r="G1940" s="4">
        <f t="shared" si="120"/>
        <v>104</v>
      </c>
      <c r="H1940" s="24"/>
      <c r="I1940" s="9"/>
      <c r="J1940" s="4"/>
      <c r="K1940" s="31"/>
    </row>
    <row r="1941" spans="1:11">
      <c r="A1941" s="18"/>
      <c r="F1941" s="1"/>
      <c r="G1941" s="33"/>
      <c r="H1941" s="24"/>
      <c r="I1941" s="9"/>
      <c r="J1941" s="4"/>
      <c r="K1941" s="31"/>
    </row>
    <row r="1942" spans="1:11">
      <c r="A1942" s="18"/>
      <c r="F1942" s="34" t="s">
        <v>11</v>
      </c>
      <c r="G1942" s="53">
        <f>SUM(G1918:G1941)</f>
        <v>852.41000000000008</v>
      </c>
      <c r="H1942" s="50" t="s">
        <v>49</v>
      </c>
      <c r="I1942" s="9"/>
      <c r="J1942" s="4"/>
      <c r="K1942" s="31"/>
    </row>
    <row r="1943" spans="1:11">
      <c r="A1943" s="18"/>
      <c r="F1943" s="56" t="s">
        <v>13</v>
      </c>
      <c r="G1943" s="27">
        <f>ROUNDUP(G1942,0)</f>
        <v>853</v>
      </c>
      <c r="H1943" s="28" t="s">
        <v>49</v>
      </c>
      <c r="I1943" s="9"/>
      <c r="J1943" s="4"/>
      <c r="K1943" s="31"/>
    </row>
    <row r="1944" spans="1:11">
      <c r="A1944" s="18"/>
      <c r="F1944" s="1"/>
      <c r="G1944" s="33"/>
      <c r="H1944" s="24"/>
      <c r="I1944" s="9"/>
      <c r="J1944" s="4"/>
      <c r="K1944" s="31"/>
    </row>
    <row r="1945" spans="1:11">
      <c r="A1945" s="18"/>
      <c r="B1945" s="15" t="s">
        <v>57</v>
      </c>
      <c r="F1945" s="1"/>
      <c r="G1945" s="33"/>
      <c r="H1945" s="24"/>
      <c r="I1945" s="9"/>
      <c r="J1945" s="4"/>
      <c r="K1945" s="31"/>
    </row>
    <row r="1946" spans="1:11">
      <c r="A1946" s="18"/>
      <c r="C1946" s="57">
        <f t="shared" ref="C1946:C1958" si="121">2*C294</f>
        <v>6</v>
      </c>
      <c r="D1946" s="83">
        <f t="shared" ref="D1946:D1958" si="122">D294</f>
        <v>2.5</v>
      </c>
      <c r="F1946" s="1"/>
      <c r="G1946" s="4">
        <f>C1946*D1946</f>
        <v>15</v>
      </c>
      <c r="H1946" s="24"/>
      <c r="I1946" s="9"/>
      <c r="J1946" s="4"/>
      <c r="K1946" s="31"/>
    </row>
    <row r="1947" spans="1:11">
      <c r="A1947" s="18"/>
      <c r="C1947" s="57">
        <f t="shared" si="121"/>
        <v>6</v>
      </c>
      <c r="D1947" s="83">
        <f t="shared" si="122"/>
        <v>2.5</v>
      </c>
      <c r="F1947" s="1"/>
      <c r="G1947" s="4">
        <f t="shared" ref="G1947:G1958" si="123">C1947*D1947</f>
        <v>15</v>
      </c>
      <c r="H1947" s="24"/>
      <c r="I1947" s="9"/>
      <c r="J1947" s="4"/>
      <c r="K1947" s="31"/>
    </row>
    <row r="1948" spans="1:11">
      <c r="A1948" s="18"/>
      <c r="C1948" s="57">
        <f t="shared" si="121"/>
        <v>10</v>
      </c>
      <c r="D1948" s="83">
        <f t="shared" si="122"/>
        <v>5</v>
      </c>
      <c r="F1948" s="1"/>
      <c r="G1948" s="4">
        <f t="shared" si="123"/>
        <v>50</v>
      </c>
      <c r="H1948" s="24"/>
      <c r="I1948" s="9"/>
      <c r="J1948" s="4"/>
      <c r="K1948" s="31"/>
    </row>
    <row r="1949" spans="1:11">
      <c r="A1949" s="18"/>
      <c r="C1949" s="57">
        <f t="shared" si="121"/>
        <v>10</v>
      </c>
      <c r="D1949" s="83">
        <f t="shared" si="122"/>
        <v>5</v>
      </c>
      <c r="F1949" s="1"/>
      <c r="G1949" s="4">
        <f t="shared" si="123"/>
        <v>50</v>
      </c>
      <c r="H1949" s="24"/>
      <c r="I1949" s="9"/>
      <c r="J1949" s="4"/>
      <c r="K1949" s="31"/>
    </row>
    <row r="1950" spans="1:11">
      <c r="A1950" s="18"/>
      <c r="C1950" s="57">
        <f t="shared" si="121"/>
        <v>6</v>
      </c>
      <c r="D1950" s="83">
        <f t="shared" si="122"/>
        <v>1.2749999999999999</v>
      </c>
      <c r="F1950" s="1"/>
      <c r="G1950" s="4">
        <f t="shared" si="123"/>
        <v>7.6499999999999995</v>
      </c>
      <c r="H1950" s="24"/>
      <c r="I1950" s="9"/>
      <c r="J1950" s="4"/>
      <c r="K1950" s="31"/>
    </row>
    <row r="1951" spans="1:11">
      <c r="A1951" s="18"/>
      <c r="C1951" s="57">
        <f t="shared" si="121"/>
        <v>6</v>
      </c>
      <c r="D1951" s="83">
        <f t="shared" si="122"/>
        <v>1.2</v>
      </c>
      <c r="F1951" s="1"/>
      <c r="G1951" s="4">
        <f t="shared" si="123"/>
        <v>7.1999999999999993</v>
      </c>
      <c r="H1951" s="24"/>
      <c r="I1951" s="9"/>
      <c r="J1951" s="4"/>
      <c r="K1951" s="31"/>
    </row>
    <row r="1952" spans="1:11">
      <c r="A1952" s="18"/>
      <c r="C1952" s="57">
        <f t="shared" si="121"/>
        <v>6</v>
      </c>
      <c r="D1952" s="83">
        <f t="shared" si="122"/>
        <v>4.5</v>
      </c>
      <c r="F1952" s="1"/>
      <c r="G1952" s="4">
        <f t="shared" si="123"/>
        <v>27</v>
      </c>
      <c r="H1952" s="24"/>
      <c r="I1952" s="9"/>
      <c r="J1952" s="4"/>
      <c r="K1952" s="31"/>
    </row>
    <row r="1953" spans="1:11">
      <c r="A1953" s="18"/>
      <c r="C1953" s="57">
        <f t="shared" si="121"/>
        <v>6</v>
      </c>
      <c r="D1953" s="83">
        <f t="shared" si="122"/>
        <v>4.5</v>
      </c>
      <c r="F1953" s="1"/>
      <c r="G1953" s="4">
        <f t="shared" si="123"/>
        <v>27</v>
      </c>
      <c r="H1953" s="24"/>
      <c r="I1953" s="9"/>
      <c r="J1953" s="4"/>
      <c r="K1953" s="31"/>
    </row>
    <row r="1954" spans="1:11">
      <c r="A1954" s="18"/>
      <c r="C1954" s="57">
        <f t="shared" si="121"/>
        <v>8</v>
      </c>
      <c r="D1954" s="83">
        <f t="shared" si="122"/>
        <v>2.5</v>
      </c>
      <c r="F1954" s="1"/>
      <c r="G1954" s="4">
        <f t="shared" si="123"/>
        <v>20</v>
      </c>
      <c r="H1954" s="24"/>
      <c r="I1954" s="9"/>
      <c r="J1954" s="4"/>
      <c r="K1954" s="31"/>
    </row>
    <row r="1955" spans="1:11">
      <c r="A1955" s="18"/>
      <c r="C1955" s="57">
        <f t="shared" si="121"/>
        <v>8</v>
      </c>
      <c r="D1955" s="83">
        <f t="shared" si="122"/>
        <v>2.5</v>
      </c>
      <c r="F1955" s="1"/>
      <c r="G1955" s="4">
        <f t="shared" si="123"/>
        <v>20</v>
      </c>
      <c r="H1955" s="24"/>
      <c r="I1955" s="9"/>
      <c r="J1955" s="4"/>
      <c r="K1955" s="31"/>
    </row>
    <row r="1956" spans="1:11">
      <c r="A1956" s="18"/>
      <c r="C1956" s="57">
        <f t="shared" si="121"/>
        <v>8</v>
      </c>
      <c r="D1956" s="83">
        <f t="shared" si="122"/>
        <v>1.25</v>
      </c>
      <c r="F1956" s="1"/>
      <c r="G1956" s="4">
        <f t="shared" si="123"/>
        <v>10</v>
      </c>
      <c r="H1956" s="24"/>
      <c r="I1956" s="9"/>
      <c r="J1956" s="4"/>
      <c r="K1956" s="31"/>
    </row>
    <row r="1957" spans="1:11">
      <c r="A1957" s="18"/>
      <c r="C1957" s="57">
        <f t="shared" si="121"/>
        <v>8</v>
      </c>
      <c r="D1957" s="83">
        <f t="shared" si="122"/>
        <v>3.75</v>
      </c>
      <c r="F1957" s="1"/>
      <c r="G1957" s="4">
        <f t="shared" si="123"/>
        <v>30</v>
      </c>
      <c r="H1957" s="24"/>
      <c r="I1957" s="9"/>
      <c r="J1957" s="4"/>
      <c r="K1957" s="31"/>
    </row>
    <row r="1958" spans="1:11">
      <c r="A1958" s="18"/>
      <c r="C1958" s="57">
        <f t="shared" si="121"/>
        <v>2</v>
      </c>
      <c r="D1958" s="83">
        <f t="shared" si="122"/>
        <v>42</v>
      </c>
      <c r="F1958" s="1"/>
      <c r="G1958" s="4">
        <f t="shared" si="123"/>
        <v>84</v>
      </c>
      <c r="H1958" s="24"/>
      <c r="I1958" s="9"/>
      <c r="J1958" s="4"/>
      <c r="K1958" s="31"/>
    </row>
    <row r="1959" spans="1:11">
      <c r="A1959" s="18"/>
      <c r="F1959" s="1"/>
      <c r="G1959" s="33"/>
      <c r="H1959" s="24"/>
      <c r="I1959" s="9"/>
      <c r="J1959" s="4"/>
      <c r="K1959" s="31"/>
    </row>
    <row r="1960" spans="1:11">
      <c r="A1960" s="18"/>
      <c r="F1960" s="34" t="s">
        <v>11</v>
      </c>
      <c r="G1960" s="53">
        <f>SUM(G1946:G1959)</f>
        <v>362.85</v>
      </c>
      <c r="H1960" s="50" t="s">
        <v>49</v>
      </c>
      <c r="I1960" s="9"/>
      <c r="J1960" s="4"/>
      <c r="K1960" s="31"/>
    </row>
    <row r="1961" spans="1:11">
      <c r="A1961" s="18"/>
      <c r="F1961" s="56" t="s">
        <v>13</v>
      </c>
      <c r="G1961" s="27">
        <f>ROUNDUP(G1960,0)</f>
        <v>363</v>
      </c>
      <c r="H1961" s="28" t="s">
        <v>49</v>
      </c>
      <c r="I1961" s="9"/>
      <c r="J1961" s="4"/>
      <c r="K1961" s="31"/>
    </row>
    <row r="1962" spans="1:11">
      <c r="A1962" s="18"/>
      <c r="F1962" s="1"/>
      <c r="G1962" s="33"/>
      <c r="H1962" s="24"/>
      <c r="I1962" s="9"/>
      <c r="J1962" s="4"/>
      <c r="K1962" s="31"/>
    </row>
    <row r="1963" spans="1:11">
      <c r="A1963" s="18"/>
      <c r="F1963" s="1"/>
      <c r="G1963" s="33"/>
      <c r="H1963" s="24"/>
      <c r="I1963" s="9"/>
      <c r="J1963" s="4"/>
      <c r="K1963" s="31"/>
    </row>
    <row r="1964" spans="1:11">
      <c r="A1964" s="18"/>
      <c r="B1964" s="15" t="s">
        <v>463</v>
      </c>
      <c r="F1964" s="1"/>
      <c r="G1964" s="33"/>
      <c r="H1964" s="24"/>
      <c r="I1964" s="9"/>
      <c r="J1964" s="4"/>
      <c r="K1964" s="31"/>
    </row>
    <row r="1965" spans="1:11">
      <c r="A1965" s="18"/>
      <c r="C1965" s="57">
        <f>2*C313</f>
        <v>4</v>
      </c>
      <c r="D1965" s="83">
        <f>D313</f>
        <v>10</v>
      </c>
      <c r="F1965" s="1"/>
      <c r="G1965" s="4">
        <f>C1965*D1965</f>
        <v>40</v>
      </c>
      <c r="H1965" s="24"/>
      <c r="I1965" s="9"/>
      <c r="J1965" s="4"/>
      <c r="K1965" s="31"/>
    </row>
    <row r="1966" spans="1:11">
      <c r="A1966" s="18"/>
      <c r="C1966" s="57">
        <f>2*C314</f>
        <v>6</v>
      </c>
      <c r="D1966" s="83">
        <f>D314</f>
        <v>5</v>
      </c>
      <c r="F1966" s="1"/>
      <c r="G1966" s="4">
        <f>C1966*D1966</f>
        <v>30</v>
      </c>
      <c r="H1966" s="24"/>
      <c r="I1966" s="9"/>
      <c r="J1966" s="4"/>
      <c r="K1966" s="31"/>
    </row>
    <row r="1967" spans="1:11">
      <c r="A1967" s="18"/>
      <c r="F1967" s="1"/>
      <c r="G1967" s="33"/>
      <c r="H1967" s="24"/>
      <c r="I1967" s="9"/>
      <c r="J1967" s="4"/>
      <c r="K1967" s="31"/>
    </row>
    <row r="1968" spans="1:11">
      <c r="A1968" s="18"/>
      <c r="F1968" s="34" t="s">
        <v>11</v>
      </c>
      <c r="G1968" s="53">
        <f>SUM(G1965:G1967)</f>
        <v>70</v>
      </c>
      <c r="H1968" s="50" t="s">
        <v>49</v>
      </c>
      <c r="I1968" s="9"/>
      <c r="J1968" s="4"/>
      <c r="K1968" s="31"/>
    </row>
    <row r="1969" spans="1:11">
      <c r="A1969" s="18"/>
      <c r="F1969" s="56" t="s">
        <v>13</v>
      </c>
      <c r="G1969" s="27">
        <f>ROUNDUP(G1968,0)</f>
        <v>70</v>
      </c>
      <c r="H1969" s="28" t="s">
        <v>49</v>
      </c>
      <c r="I1969" s="9"/>
      <c r="J1969" s="4"/>
      <c r="K1969" s="31"/>
    </row>
    <row r="1970" spans="1:11">
      <c r="A1970" s="18"/>
      <c r="F1970" s="1"/>
      <c r="G1970" s="33"/>
      <c r="H1970" s="24"/>
      <c r="I1970" s="9"/>
      <c r="J1970" s="4"/>
      <c r="K1970" s="31"/>
    </row>
    <row r="1971" spans="1:11">
      <c r="A1971" s="18"/>
      <c r="F1971" s="1"/>
      <c r="G1971" s="33"/>
      <c r="H1971" s="24"/>
      <c r="I1971" s="9"/>
      <c r="J1971" s="4"/>
      <c r="K1971" s="31"/>
    </row>
    <row r="1972" spans="1:11">
      <c r="A1972" s="29">
        <f>A1885+1</f>
        <v>54</v>
      </c>
      <c r="B1972" s="9" t="s">
        <v>564</v>
      </c>
      <c r="C1972" s="46"/>
      <c r="D1972" s="2"/>
      <c r="E1972" s="46"/>
      <c r="F1972" s="2"/>
      <c r="G1972" s="4"/>
      <c r="H1972" s="1"/>
      <c r="I1972" s="9"/>
      <c r="J1972" s="4"/>
      <c r="K1972" s="31"/>
    </row>
    <row r="1973" spans="1:11">
      <c r="A1973" s="29"/>
      <c r="B1973" s="15" t="s">
        <v>56</v>
      </c>
      <c r="C1973" s="46"/>
      <c r="D1973" s="2"/>
      <c r="E1973" s="46"/>
      <c r="F1973" s="46"/>
      <c r="G1973" s="27">
        <v>1000</v>
      </c>
      <c r="H1973" s="28" t="s">
        <v>49</v>
      </c>
      <c r="I1973" s="9"/>
      <c r="J1973" s="4"/>
      <c r="K1973" s="31"/>
    </row>
    <row r="1974" spans="1:11">
      <c r="A1974" s="29"/>
      <c r="B1974" s="15"/>
      <c r="C1974" s="46"/>
      <c r="D1974" s="2"/>
      <c r="E1974" s="46"/>
      <c r="F1974" s="46"/>
      <c r="G1974" s="33"/>
      <c r="H1974" s="24"/>
      <c r="I1974" s="9"/>
      <c r="J1974" s="4"/>
      <c r="K1974" s="31"/>
    </row>
    <row r="1975" spans="1:11">
      <c r="A1975" s="29"/>
      <c r="B1975" s="15" t="s">
        <v>445</v>
      </c>
      <c r="C1975" s="46"/>
      <c r="D1975" s="2"/>
      <c r="E1975" s="46"/>
      <c r="F1975" s="46"/>
      <c r="G1975" s="27">
        <v>1000</v>
      </c>
      <c r="H1975" s="28" t="s">
        <v>49</v>
      </c>
      <c r="I1975" s="9"/>
      <c r="J1975" s="4"/>
      <c r="K1975" s="31"/>
    </row>
    <row r="1976" spans="1:11">
      <c r="A1976" s="29"/>
      <c r="B1976" s="15"/>
      <c r="C1976" s="46"/>
      <c r="D1976" s="2"/>
      <c r="E1976" s="46"/>
      <c r="F1976" s="46"/>
      <c r="G1976" s="33"/>
      <c r="H1976" s="24"/>
      <c r="I1976" s="9"/>
      <c r="J1976" s="4"/>
      <c r="K1976" s="31"/>
    </row>
    <row r="1977" spans="1:11">
      <c r="A1977" s="29"/>
      <c r="B1977" s="15" t="s">
        <v>57</v>
      </c>
      <c r="C1977" s="46"/>
      <c r="D1977" s="2"/>
      <c r="E1977" s="46"/>
      <c r="F1977" s="46"/>
      <c r="G1977" s="27">
        <v>1000</v>
      </c>
      <c r="H1977" s="28" t="s">
        <v>49</v>
      </c>
      <c r="I1977" s="9"/>
      <c r="J1977" s="4"/>
      <c r="K1977" s="31"/>
    </row>
    <row r="1978" spans="1:11">
      <c r="A1978" s="18"/>
      <c r="F1978" s="1"/>
      <c r="G1978" s="33"/>
      <c r="H1978" s="24"/>
      <c r="I1978" s="9"/>
      <c r="J1978" s="4"/>
      <c r="K1978" s="31"/>
    </row>
    <row r="1979" spans="1:11">
      <c r="A1979" s="18">
        <f>A1972+1</f>
        <v>55</v>
      </c>
      <c r="B1979" s="9" t="s">
        <v>534</v>
      </c>
      <c r="C1979" s="1"/>
      <c r="D1979" s="1"/>
      <c r="E1979" s="1"/>
      <c r="F1979" s="1"/>
      <c r="G1979" s="33"/>
      <c r="H1979" s="24"/>
      <c r="I1979" s="9"/>
      <c r="J1979" s="4"/>
      <c r="K1979" s="31"/>
    </row>
    <row r="1980" spans="1:11">
      <c r="A1980" s="18"/>
      <c r="B1980" s="15" t="s">
        <v>56</v>
      </c>
      <c r="C1980" s="1"/>
      <c r="D1980" s="1"/>
      <c r="E1980" s="1"/>
      <c r="F1980" s="1"/>
      <c r="G1980" s="33"/>
      <c r="H1980" s="24"/>
      <c r="I1980" s="9"/>
      <c r="J1980" s="4"/>
      <c r="K1980" s="31"/>
    </row>
    <row r="1981" spans="1:11">
      <c r="A1981" s="18"/>
      <c r="B1981" s="74" t="s">
        <v>535</v>
      </c>
      <c r="C1981" s="1">
        <v>1</v>
      </c>
      <c r="D1981" s="5">
        <v>26</v>
      </c>
      <c r="E1981" s="5">
        <v>3.5</v>
      </c>
      <c r="F1981" s="1"/>
      <c r="G1981" s="4">
        <f>C1981*D1981*E1981</f>
        <v>91</v>
      </c>
      <c r="H1981" s="1" t="s">
        <v>17</v>
      </c>
      <c r="I1981" s="9"/>
      <c r="J1981" s="4"/>
      <c r="K1981" s="31"/>
    </row>
    <row r="1982" spans="1:11">
      <c r="A1982" s="18"/>
      <c r="B1982" s="46" t="s">
        <v>465</v>
      </c>
      <c r="C1982" s="1">
        <v>1</v>
      </c>
      <c r="D1982" s="5">
        <v>25.77</v>
      </c>
      <c r="E1982" s="5">
        <v>4.67</v>
      </c>
      <c r="F1982" s="1"/>
      <c r="G1982" s="4">
        <f t="shared" ref="G1982:G1990" si="124">C1982*D1982*E1982</f>
        <v>120.3459</v>
      </c>
      <c r="H1982" s="1" t="s">
        <v>10</v>
      </c>
      <c r="I1982" s="9"/>
      <c r="J1982" s="4"/>
      <c r="K1982" s="31"/>
    </row>
    <row r="1983" spans="1:11">
      <c r="A1983" s="18"/>
      <c r="B1983" s="46" t="s">
        <v>464</v>
      </c>
      <c r="C1983" s="1">
        <v>1</v>
      </c>
      <c r="D1983" s="5">
        <v>28.73</v>
      </c>
      <c r="E1983" s="5">
        <v>5.09</v>
      </c>
      <c r="F1983" s="1"/>
      <c r="G1983" s="4">
        <f t="shared" si="124"/>
        <v>146.23570000000001</v>
      </c>
      <c r="H1983" s="1" t="s">
        <v>10</v>
      </c>
      <c r="I1983" s="9"/>
      <c r="J1983" s="4"/>
      <c r="K1983" s="31"/>
    </row>
    <row r="1984" spans="1:11">
      <c r="A1984" s="18"/>
      <c r="B1984" s="46"/>
      <c r="C1984" s="1">
        <v>1</v>
      </c>
      <c r="D1984" s="5">
        <v>0.9</v>
      </c>
      <c r="E1984" s="5">
        <v>1.2</v>
      </c>
      <c r="F1984" s="1"/>
      <c r="G1984" s="4">
        <f t="shared" si="124"/>
        <v>1.08</v>
      </c>
      <c r="H1984" s="1" t="s">
        <v>10</v>
      </c>
      <c r="I1984" s="9"/>
      <c r="J1984" s="4"/>
      <c r="K1984" s="31"/>
    </row>
    <row r="1985" spans="1:11">
      <c r="A1985" s="18"/>
      <c r="B1985" s="46"/>
      <c r="C1985" s="1">
        <v>5</v>
      </c>
      <c r="D1985" s="5">
        <v>1.3</v>
      </c>
      <c r="E1985" s="5">
        <v>1.2</v>
      </c>
      <c r="F1985" s="1"/>
      <c r="G1985" s="4">
        <f t="shared" si="124"/>
        <v>7.8</v>
      </c>
      <c r="H1985" s="1" t="s">
        <v>10</v>
      </c>
      <c r="I1985" s="9"/>
      <c r="J1985" s="4"/>
      <c r="K1985" s="31"/>
    </row>
    <row r="1986" spans="1:11">
      <c r="A1986" s="18"/>
      <c r="B1986" s="46"/>
      <c r="C1986" s="1">
        <v>1</v>
      </c>
      <c r="D1986" s="5">
        <v>1.72</v>
      </c>
      <c r="E1986" s="5">
        <v>1.2</v>
      </c>
      <c r="F1986" s="1"/>
      <c r="G1986" s="4">
        <f t="shared" si="124"/>
        <v>2.0640000000000001</v>
      </c>
      <c r="H1986" s="1" t="s">
        <v>10</v>
      </c>
      <c r="I1986" s="9"/>
      <c r="J1986" s="4"/>
      <c r="K1986" s="31"/>
    </row>
    <row r="1987" spans="1:11">
      <c r="A1987" s="18"/>
      <c r="B1987" s="46" t="s">
        <v>475</v>
      </c>
      <c r="C1987" s="1">
        <v>1</v>
      </c>
      <c r="D1987" s="5">
        <v>2.77</v>
      </c>
      <c r="E1987" s="5">
        <v>2.5750000000000002</v>
      </c>
      <c r="F1987" s="1"/>
      <c r="G1987" s="4">
        <f t="shared" si="124"/>
        <v>7.1327500000000006</v>
      </c>
      <c r="H1987" s="1" t="s">
        <v>10</v>
      </c>
      <c r="I1987" s="9"/>
      <c r="J1987" s="4"/>
      <c r="K1987" s="31"/>
    </row>
    <row r="1988" spans="1:11">
      <c r="A1988" s="18"/>
      <c r="B1988" s="46" t="s">
        <v>519</v>
      </c>
      <c r="C1988" s="1">
        <v>1</v>
      </c>
      <c r="D1988" s="5">
        <v>12.17</v>
      </c>
      <c r="E1988" s="5">
        <v>8.77</v>
      </c>
      <c r="F1988" s="1"/>
      <c r="G1988" s="4">
        <f t="shared" si="124"/>
        <v>106.73089999999999</v>
      </c>
      <c r="H1988" s="1" t="s">
        <v>10</v>
      </c>
      <c r="I1988" s="9"/>
      <c r="J1988" s="4"/>
      <c r="K1988" s="31"/>
    </row>
    <row r="1989" spans="1:11">
      <c r="A1989" s="18"/>
      <c r="B1989" s="46" t="s">
        <v>536</v>
      </c>
      <c r="C1989" s="1">
        <v>1</v>
      </c>
      <c r="D1989" s="5">
        <v>5</v>
      </c>
      <c r="E1989" s="5">
        <v>3.5</v>
      </c>
      <c r="F1989" s="1"/>
      <c r="G1989" s="4">
        <f t="shared" si="124"/>
        <v>17.5</v>
      </c>
      <c r="H1989" s="1" t="s">
        <v>10</v>
      </c>
      <c r="I1989" s="9"/>
      <c r="J1989" s="4"/>
      <c r="K1989" s="31"/>
    </row>
    <row r="1990" spans="1:11">
      <c r="A1990" s="18"/>
      <c r="B1990" s="46" t="s">
        <v>467</v>
      </c>
      <c r="C1990" s="1">
        <v>1</v>
      </c>
      <c r="D1990" s="5">
        <v>4.7699999999999996</v>
      </c>
      <c r="E1990" s="5">
        <v>8.27</v>
      </c>
      <c r="F1990" s="1"/>
      <c r="G1990" s="4">
        <f t="shared" si="124"/>
        <v>39.447899999999997</v>
      </c>
      <c r="H1990" s="1" t="s">
        <v>10</v>
      </c>
      <c r="I1990" s="9"/>
      <c r="J1990" s="4"/>
      <c r="K1990" s="31"/>
    </row>
    <row r="1991" spans="1:11">
      <c r="A1991" s="18"/>
      <c r="B1991" s="9"/>
      <c r="C1991" s="1"/>
      <c r="D1991" s="5"/>
      <c r="E1991" s="5"/>
      <c r="F1991" s="1"/>
      <c r="G1991" s="4"/>
      <c r="H1991" s="1"/>
      <c r="I1991" s="9"/>
      <c r="J1991" s="4"/>
      <c r="K1991" s="31"/>
    </row>
    <row r="1992" spans="1:11">
      <c r="A1992" s="18"/>
      <c r="B1992" s="9"/>
      <c r="C1992" s="1"/>
      <c r="D1992" s="5"/>
      <c r="E1992" s="5"/>
      <c r="F1992" s="34" t="s">
        <v>11</v>
      </c>
      <c r="G1992" s="53">
        <f>SUM(G1981:G1991)</f>
        <v>539.33714999999995</v>
      </c>
      <c r="H1992" s="50" t="s">
        <v>17</v>
      </c>
      <c r="I1992" s="9"/>
      <c r="J1992" s="4"/>
      <c r="K1992" s="31"/>
    </row>
    <row r="1993" spans="1:11">
      <c r="A1993" s="18"/>
      <c r="B1993" s="9"/>
      <c r="F1993" s="56" t="s">
        <v>13</v>
      </c>
      <c r="G1993" s="27">
        <f>ROUNDUP(G1992,0)</f>
        <v>540</v>
      </c>
      <c r="H1993" s="28" t="s">
        <v>17</v>
      </c>
      <c r="I1993" s="9"/>
      <c r="J1993" s="4"/>
      <c r="K1993" s="31"/>
    </row>
    <row r="1994" spans="1:11">
      <c r="A1994" s="18"/>
      <c r="B1994" s="9"/>
      <c r="C1994" s="1"/>
      <c r="D1994" s="1"/>
      <c r="E1994" s="1"/>
      <c r="F1994" s="1"/>
      <c r="G1994" s="33"/>
      <c r="H1994" s="24"/>
      <c r="I1994" s="9"/>
      <c r="J1994" s="4"/>
      <c r="K1994" s="31"/>
    </row>
    <row r="1995" spans="1:11">
      <c r="A1995" s="18">
        <f>A1979+1</f>
        <v>56</v>
      </c>
      <c r="B1995" s="9" t="s">
        <v>118</v>
      </c>
      <c r="C1995" s="1"/>
      <c r="D1995" s="1"/>
      <c r="E1995" s="1"/>
      <c r="F1995" s="1"/>
      <c r="G1995" s="33"/>
      <c r="H1995" s="24"/>
      <c r="I1995" s="9"/>
      <c r="J1995" s="4"/>
      <c r="K1995" s="31"/>
    </row>
    <row r="1996" spans="1:11">
      <c r="A1996" s="18"/>
      <c r="B1996" s="15" t="s">
        <v>56</v>
      </c>
      <c r="C1996" s="1"/>
      <c r="D1996" s="1"/>
      <c r="E1996" s="1"/>
      <c r="F1996" s="1"/>
      <c r="G1996" s="33"/>
      <c r="H1996" s="24"/>
      <c r="I1996" s="9"/>
      <c r="J1996" s="4"/>
      <c r="K1996" s="31"/>
    </row>
    <row r="1997" spans="1:11">
      <c r="A1997" s="18"/>
      <c r="C1997" s="1">
        <v>27</v>
      </c>
      <c r="D1997" s="5">
        <v>1.575</v>
      </c>
      <c r="E1997" s="5">
        <v>0.45</v>
      </c>
      <c r="F1997" s="1"/>
      <c r="G1997" s="4">
        <f>C1997*D1997*E1997</f>
        <v>19.13625</v>
      </c>
      <c r="H1997" s="1" t="s">
        <v>17</v>
      </c>
      <c r="I1997" s="9"/>
      <c r="J1997" s="4"/>
      <c r="K1997" s="31"/>
    </row>
    <row r="1998" spans="1:11">
      <c r="A1998" s="18"/>
      <c r="B1998" s="46"/>
      <c r="C1998" s="1">
        <v>2</v>
      </c>
      <c r="D1998" s="5">
        <v>1.61</v>
      </c>
      <c r="E1998" s="5">
        <v>1.575</v>
      </c>
      <c r="F1998" s="1"/>
      <c r="G1998" s="4">
        <f t="shared" ref="G1998:G2005" si="125">C1998*D1998*E1998</f>
        <v>5.0715000000000003</v>
      </c>
      <c r="H1998" s="1" t="s">
        <v>10</v>
      </c>
      <c r="I1998" s="9"/>
      <c r="J1998" s="4"/>
      <c r="K1998" s="31"/>
    </row>
    <row r="1999" spans="1:11">
      <c r="A1999" s="18"/>
      <c r="B1999" s="46"/>
      <c r="C1999" s="1">
        <v>27</v>
      </c>
      <c r="D1999" s="5">
        <v>1.35</v>
      </c>
      <c r="E1999" s="5">
        <v>0.45</v>
      </c>
      <c r="F1999" s="1"/>
      <c r="G1999" s="4">
        <f t="shared" si="125"/>
        <v>16.402500000000003</v>
      </c>
      <c r="H1999" s="1" t="s">
        <v>10</v>
      </c>
      <c r="I1999" s="9"/>
      <c r="J1999" s="4"/>
      <c r="K1999" s="31"/>
    </row>
    <row r="2000" spans="1:11">
      <c r="A2000" s="18"/>
      <c r="B2000" s="46"/>
      <c r="C2000" s="1">
        <v>1</v>
      </c>
      <c r="D2000" s="5">
        <v>2.9</v>
      </c>
      <c r="E2000" s="5">
        <v>1.35</v>
      </c>
      <c r="F2000" s="1"/>
      <c r="G2000" s="4">
        <f t="shared" si="125"/>
        <v>3.915</v>
      </c>
      <c r="H2000" s="1" t="s">
        <v>10</v>
      </c>
      <c r="I2000" s="9"/>
      <c r="J2000" s="4"/>
      <c r="K2000" s="31"/>
    </row>
    <row r="2001" spans="1:11">
      <c r="A2001" s="18"/>
      <c r="B2001" s="46" t="s">
        <v>461</v>
      </c>
      <c r="C2001" s="1">
        <v>27</v>
      </c>
      <c r="D2001" s="5">
        <v>1.5</v>
      </c>
      <c r="E2001" s="5">
        <v>0.45</v>
      </c>
      <c r="F2001" s="1"/>
      <c r="G2001" s="4">
        <f t="shared" si="125"/>
        <v>18.225000000000001</v>
      </c>
      <c r="H2001" s="1" t="s">
        <v>10</v>
      </c>
      <c r="I2001" s="9"/>
      <c r="J2001" s="4"/>
      <c r="K2001" s="31"/>
    </row>
    <row r="2002" spans="1:11">
      <c r="A2002" s="18"/>
      <c r="B2002" s="46"/>
      <c r="C2002" s="1">
        <v>9</v>
      </c>
      <c r="D2002" s="5">
        <v>1.35</v>
      </c>
      <c r="E2002" s="5">
        <v>0.45</v>
      </c>
      <c r="F2002" s="1"/>
      <c r="G2002" s="4">
        <f t="shared" si="125"/>
        <v>5.4675000000000002</v>
      </c>
      <c r="H2002" s="1" t="s">
        <v>10</v>
      </c>
      <c r="I2002" s="9"/>
      <c r="J2002" s="4"/>
      <c r="K2002" s="31"/>
    </row>
    <row r="2003" spans="1:11">
      <c r="A2003" s="18"/>
      <c r="B2003" s="46"/>
      <c r="C2003" s="1">
        <v>5</v>
      </c>
      <c r="D2003" s="5">
        <v>2.56</v>
      </c>
      <c r="E2003" s="5">
        <v>0.45</v>
      </c>
      <c r="F2003" s="1"/>
      <c r="G2003" s="4">
        <f t="shared" si="125"/>
        <v>5.7600000000000007</v>
      </c>
      <c r="H2003" s="1" t="s">
        <v>10</v>
      </c>
      <c r="I2003" s="9"/>
      <c r="J2003" s="4"/>
      <c r="K2003" s="31"/>
    </row>
    <row r="2004" spans="1:11">
      <c r="A2004" s="18"/>
      <c r="B2004" s="46"/>
      <c r="C2004" s="1">
        <v>1</v>
      </c>
      <c r="D2004" s="5">
        <v>2.56</v>
      </c>
      <c r="E2004" s="5">
        <v>1.1000000000000001</v>
      </c>
      <c r="F2004" s="1"/>
      <c r="G2004" s="4">
        <f t="shared" si="125"/>
        <v>2.8160000000000003</v>
      </c>
      <c r="H2004" s="1" t="s">
        <v>10</v>
      </c>
      <c r="I2004" s="9"/>
      <c r="J2004" s="4"/>
      <c r="K2004" s="31"/>
    </row>
    <row r="2005" spans="1:11">
      <c r="A2005" s="18"/>
      <c r="B2005" s="46"/>
      <c r="C2005" s="1">
        <v>1</v>
      </c>
      <c r="D2005" s="5">
        <v>2.7149999999999999</v>
      </c>
      <c r="E2005" s="5">
        <v>1.94</v>
      </c>
      <c r="F2005" s="1"/>
      <c r="G2005" s="4">
        <f t="shared" si="125"/>
        <v>5.2670999999999992</v>
      </c>
      <c r="H2005" s="1" t="s">
        <v>10</v>
      </c>
      <c r="I2005" s="9"/>
      <c r="J2005" s="4"/>
      <c r="K2005" s="31"/>
    </row>
    <row r="2006" spans="1:11">
      <c r="A2006" s="18"/>
      <c r="B2006" s="46"/>
      <c r="C2006" s="1"/>
      <c r="D2006" s="5"/>
      <c r="E2006" s="5"/>
      <c r="F2006" s="1"/>
      <c r="G2006" s="4"/>
      <c r="H2006" s="1"/>
      <c r="I2006" s="9"/>
      <c r="J2006" s="4"/>
      <c r="K2006" s="31"/>
    </row>
    <row r="2007" spans="1:11">
      <c r="A2007" s="18"/>
      <c r="B2007" s="9"/>
      <c r="C2007" s="1"/>
      <c r="D2007" s="5"/>
      <c r="E2007" s="5"/>
      <c r="F2007" s="34" t="s">
        <v>11</v>
      </c>
      <c r="G2007" s="53">
        <f>SUM(G1997:G2006)</f>
        <v>82.060850000000016</v>
      </c>
      <c r="H2007" s="50" t="s">
        <v>17</v>
      </c>
      <c r="I2007" s="9"/>
      <c r="J2007" s="4"/>
      <c r="K2007" s="31"/>
    </row>
    <row r="2008" spans="1:11">
      <c r="A2008" s="18"/>
      <c r="B2008" s="9"/>
      <c r="F2008" s="56" t="s">
        <v>13</v>
      </c>
      <c r="G2008" s="27">
        <f>ROUNDUP(G2007,0)</f>
        <v>83</v>
      </c>
      <c r="H2008" s="28" t="s">
        <v>17</v>
      </c>
      <c r="I2008" s="9"/>
      <c r="J2008" s="4"/>
      <c r="K2008" s="31"/>
    </row>
    <row r="2009" spans="1:11">
      <c r="A2009" s="18"/>
      <c r="B2009" s="9"/>
      <c r="F2009" s="1"/>
      <c r="G2009" s="33"/>
      <c r="H2009" s="24"/>
      <c r="I2009" s="9"/>
      <c r="J2009" s="4"/>
      <c r="K2009" s="31"/>
    </row>
    <row r="2010" spans="1:11">
      <c r="A2010" s="18"/>
      <c r="B2010" s="15" t="s">
        <v>445</v>
      </c>
      <c r="C2010" s="1"/>
      <c r="D2010" s="5"/>
      <c r="E2010" s="5"/>
      <c r="F2010" s="1"/>
      <c r="G2010" s="4"/>
      <c r="H2010" s="1"/>
      <c r="I2010" s="9"/>
      <c r="J2010" s="4"/>
      <c r="K2010" s="31"/>
    </row>
    <row r="2011" spans="1:11">
      <c r="A2011" s="18"/>
      <c r="C2011" s="1">
        <v>25</v>
      </c>
      <c r="D2011" s="5">
        <v>1.35</v>
      </c>
      <c r="E2011" s="5">
        <v>0.45</v>
      </c>
      <c r="F2011" s="1"/>
      <c r="G2011" s="4">
        <f>C2011*D2011*E2011</f>
        <v>15.1875</v>
      </c>
      <c r="H2011" s="1" t="s">
        <v>17</v>
      </c>
      <c r="I2011" s="9"/>
      <c r="J2011" s="4"/>
      <c r="K2011" s="31"/>
    </row>
    <row r="2012" spans="1:11">
      <c r="A2012" s="18"/>
      <c r="B2012" s="9"/>
      <c r="C2012" s="1">
        <v>1</v>
      </c>
      <c r="D2012" s="5">
        <v>1.35</v>
      </c>
      <c r="E2012" s="5">
        <v>2.9</v>
      </c>
      <c r="F2012" s="1"/>
      <c r="G2012" s="4">
        <f>C2012*D2012*E2012</f>
        <v>3.915</v>
      </c>
      <c r="H2012" s="1" t="s">
        <v>10</v>
      </c>
      <c r="I2012" s="9"/>
      <c r="J2012" s="4"/>
      <c r="K2012" s="31"/>
    </row>
    <row r="2013" spans="1:11">
      <c r="A2013" s="18"/>
      <c r="B2013" s="9"/>
      <c r="C2013" s="1">
        <v>1</v>
      </c>
      <c r="D2013" s="5">
        <v>1.41</v>
      </c>
      <c r="E2013" s="5">
        <v>2.9</v>
      </c>
      <c r="F2013" s="1"/>
      <c r="G2013" s="4">
        <f>C2013*D2013*E2013</f>
        <v>4.0889999999999995</v>
      </c>
      <c r="H2013" s="1" t="s">
        <v>10</v>
      </c>
      <c r="I2013" s="9"/>
      <c r="J2013" s="4"/>
      <c r="K2013" s="31"/>
    </row>
    <row r="2014" spans="1:11">
      <c r="A2014" s="18"/>
      <c r="B2014" s="9"/>
      <c r="C2014" s="1"/>
      <c r="D2014" s="5"/>
      <c r="E2014" s="5"/>
      <c r="F2014" s="1"/>
      <c r="G2014" s="4"/>
      <c r="H2014" s="1"/>
      <c r="I2014" s="9"/>
      <c r="J2014" s="4"/>
      <c r="K2014" s="31"/>
    </row>
    <row r="2015" spans="1:11">
      <c r="A2015" s="18"/>
      <c r="B2015" s="9"/>
      <c r="C2015" s="1"/>
      <c r="D2015" s="5"/>
      <c r="E2015" s="5"/>
      <c r="F2015" s="34" t="s">
        <v>11</v>
      </c>
      <c r="G2015" s="53">
        <f>SUM(G2011:G2014)</f>
        <v>23.191499999999998</v>
      </c>
      <c r="H2015" s="50" t="s">
        <v>17</v>
      </c>
      <c r="I2015" s="9"/>
      <c r="J2015" s="4"/>
      <c r="K2015" s="31"/>
    </row>
    <row r="2016" spans="1:11">
      <c r="A2016" s="18"/>
      <c r="B2016" s="15"/>
      <c r="F2016" s="56" t="s">
        <v>13</v>
      </c>
      <c r="G2016" s="27">
        <f>ROUNDUP(G2015,0)</f>
        <v>24</v>
      </c>
      <c r="H2016" s="28" t="s">
        <v>17</v>
      </c>
      <c r="I2016" s="9"/>
      <c r="J2016" s="4"/>
      <c r="K2016" s="31"/>
    </row>
    <row r="2017" spans="1:11">
      <c r="A2017" s="18"/>
      <c r="B2017" s="9"/>
      <c r="F2017" s="1"/>
      <c r="G2017" s="33"/>
      <c r="H2017" s="24"/>
      <c r="I2017" s="9"/>
      <c r="J2017" s="4"/>
      <c r="K2017" s="31"/>
    </row>
    <row r="2018" spans="1:11">
      <c r="A2018" s="18"/>
      <c r="B2018" s="15" t="s">
        <v>57</v>
      </c>
      <c r="C2018" s="1"/>
      <c r="D2018" s="5"/>
      <c r="E2018" s="5"/>
      <c r="F2018" s="1"/>
      <c r="G2018" s="4"/>
      <c r="H2018" s="1"/>
      <c r="I2018" s="9"/>
      <c r="J2018" s="4"/>
      <c r="K2018" s="31"/>
    </row>
    <row r="2019" spans="1:11">
      <c r="A2019" s="18"/>
      <c r="B2019" s="46"/>
      <c r="C2019" s="1">
        <v>25</v>
      </c>
      <c r="D2019" s="5">
        <v>1.35</v>
      </c>
      <c r="E2019" s="5">
        <v>0.45</v>
      </c>
      <c r="F2019" s="1"/>
      <c r="G2019" s="4">
        <f>C2019*D2019*E2019</f>
        <v>15.1875</v>
      </c>
      <c r="H2019" s="1" t="s">
        <v>17</v>
      </c>
      <c r="I2019" s="9"/>
      <c r="J2019" s="4"/>
      <c r="K2019" s="31"/>
    </row>
    <row r="2020" spans="1:11">
      <c r="A2020" s="18"/>
      <c r="B2020" s="46"/>
      <c r="C2020" s="1">
        <v>1</v>
      </c>
      <c r="D2020" s="5">
        <v>1.35</v>
      </c>
      <c r="E2020" s="5">
        <v>2.9</v>
      </c>
      <c r="F2020" s="1"/>
      <c r="G2020" s="4">
        <f>C2020*D2020*E2020</f>
        <v>3.915</v>
      </c>
      <c r="H2020" s="1" t="s">
        <v>10</v>
      </c>
      <c r="I2020" s="9"/>
      <c r="J2020" s="4"/>
      <c r="K2020" s="31"/>
    </row>
    <row r="2021" spans="1:11">
      <c r="A2021" s="18"/>
      <c r="B2021" s="46"/>
      <c r="C2021" s="1">
        <v>1</v>
      </c>
      <c r="D2021" s="5">
        <v>1.41</v>
      </c>
      <c r="E2021" s="5">
        <v>2.9</v>
      </c>
      <c r="F2021" s="1"/>
      <c r="G2021" s="4">
        <f>C2021*D2021*E2021</f>
        <v>4.0889999999999995</v>
      </c>
      <c r="H2021" s="1" t="s">
        <v>10</v>
      </c>
      <c r="I2021" s="9"/>
      <c r="J2021" s="4"/>
      <c r="K2021" s="31"/>
    </row>
    <row r="2022" spans="1:11">
      <c r="A2022" s="18"/>
      <c r="B2022" s="9"/>
      <c r="C2022" s="1"/>
      <c r="D2022" s="5"/>
      <c r="E2022" s="5"/>
      <c r="F2022" s="1"/>
      <c r="G2022" s="4"/>
      <c r="H2022" s="1"/>
      <c r="I2022" s="9"/>
      <c r="J2022" s="4"/>
      <c r="K2022" s="31"/>
    </row>
    <row r="2023" spans="1:11">
      <c r="A2023" s="18"/>
      <c r="B2023" s="9"/>
      <c r="C2023" s="1"/>
      <c r="D2023" s="5"/>
      <c r="E2023" s="5"/>
      <c r="F2023" s="34" t="s">
        <v>11</v>
      </c>
      <c r="G2023" s="53">
        <f>SUM(G2019:G2022)</f>
        <v>23.191499999999998</v>
      </c>
      <c r="H2023" s="50" t="s">
        <v>17</v>
      </c>
      <c r="I2023" s="9"/>
      <c r="J2023" s="4"/>
      <c r="K2023" s="31"/>
    </row>
    <row r="2024" spans="1:11">
      <c r="A2024" s="18"/>
      <c r="B2024" s="9"/>
      <c r="F2024" s="56" t="s">
        <v>13</v>
      </c>
      <c r="G2024" s="27">
        <f>ROUNDUP(G2023,0)</f>
        <v>24</v>
      </c>
      <c r="H2024" s="28" t="s">
        <v>17</v>
      </c>
      <c r="I2024" s="9"/>
      <c r="J2024" s="4"/>
      <c r="K2024" s="31"/>
    </row>
    <row r="2025" spans="1:11">
      <c r="A2025" s="18"/>
      <c r="B2025" s="9"/>
      <c r="F2025" s="1"/>
      <c r="G2025" s="33"/>
      <c r="H2025" s="24"/>
      <c r="I2025" s="9"/>
      <c r="J2025" s="4"/>
      <c r="K2025" s="31"/>
    </row>
    <row r="2026" spans="1:11">
      <c r="A2026" s="18">
        <f>A1995+1</f>
        <v>57</v>
      </c>
      <c r="B2026" s="9" t="s">
        <v>409</v>
      </c>
      <c r="F2026" s="1"/>
      <c r="G2026" s="33"/>
      <c r="H2026" s="24"/>
      <c r="I2026" s="9"/>
      <c r="J2026" s="4"/>
      <c r="K2026" s="31"/>
    </row>
    <row r="2027" spans="1:11">
      <c r="A2027" s="29"/>
      <c r="B2027" s="15" t="s">
        <v>56</v>
      </c>
      <c r="F2027" s="1"/>
      <c r="G2027" s="33"/>
      <c r="H2027" s="24"/>
      <c r="I2027" s="9"/>
      <c r="J2027" s="4"/>
      <c r="K2027" s="31"/>
    </row>
    <row r="2028" spans="1:11">
      <c r="A2028" s="18"/>
      <c r="B2028" s="9"/>
      <c r="C2028" s="1">
        <f>C1997</f>
        <v>27</v>
      </c>
      <c r="D2028" s="5">
        <f>D1997</f>
        <v>1.575</v>
      </c>
      <c r="F2028" s="1"/>
      <c r="G2028" s="4">
        <f>C2028*D2028</f>
        <v>42.524999999999999</v>
      </c>
      <c r="H2028" s="1" t="s">
        <v>49</v>
      </c>
      <c r="I2028" s="9"/>
      <c r="J2028" s="4"/>
      <c r="K2028" s="31"/>
    </row>
    <row r="2029" spans="1:11">
      <c r="A2029" s="18"/>
      <c r="B2029" s="9"/>
      <c r="C2029" s="1">
        <f t="shared" ref="C2029:D2036" si="126">C1998</f>
        <v>2</v>
      </c>
      <c r="D2029" s="5">
        <f t="shared" si="126"/>
        <v>1.61</v>
      </c>
      <c r="F2029" s="1"/>
      <c r="G2029" s="4">
        <f t="shared" ref="G2029:G2036" si="127">C2029*D2029</f>
        <v>3.22</v>
      </c>
      <c r="H2029" s="1" t="s">
        <v>10</v>
      </c>
      <c r="I2029" s="9"/>
      <c r="J2029" s="4"/>
      <c r="K2029" s="31"/>
    </row>
    <row r="2030" spans="1:11">
      <c r="A2030" s="18"/>
      <c r="B2030" s="9"/>
      <c r="C2030" s="1">
        <f t="shared" si="126"/>
        <v>27</v>
      </c>
      <c r="D2030" s="5">
        <f t="shared" si="126"/>
        <v>1.35</v>
      </c>
      <c r="F2030" s="1"/>
      <c r="G2030" s="4">
        <f t="shared" si="127"/>
        <v>36.450000000000003</v>
      </c>
      <c r="H2030" s="1" t="s">
        <v>10</v>
      </c>
      <c r="I2030" s="9"/>
      <c r="J2030" s="4"/>
      <c r="K2030" s="31"/>
    </row>
    <row r="2031" spans="1:11">
      <c r="A2031" s="18"/>
      <c r="B2031" s="9"/>
      <c r="C2031" s="1">
        <f t="shared" si="126"/>
        <v>1</v>
      </c>
      <c r="D2031" s="5">
        <f t="shared" si="126"/>
        <v>2.9</v>
      </c>
      <c r="F2031" s="1"/>
      <c r="G2031" s="4">
        <f t="shared" si="127"/>
        <v>2.9</v>
      </c>
      <c r="H2031" s="1" t="s">
        <v>10</v>
      </c>
      <c r="I2031" s="9"/>
      <c r="J2031" s="4"/>
      <c r="K2031" s="31"/>
    </row>
    <row r="2032" spans="1:11">
      <c r="A2032" s="18"/>
      <c r="B2032" s="9"/>
      <c r="C2032" s="1">
        <f t="shared" si="126"/>
        <v>27</v>
      </c>
      <c r="D2032" s="5">
        <f t="shared" si="126"/>
        <v>1.5</v>
      </c>
      <c r="F2032" s="1"/>
      <c r="G2032" s="4">
        <f t="shared" si="127"/>
        <v>40.5</v>
      </c>
      <c r="H2032" s="1" t="s">
        <v>10</v>
      </c>
      <c r="I2032" s="9"/>
      <c r="J2032" s="4"/>
      <c r="K2032" s="31"/>
    </row>
    <row r="2033" spans="1:11">
      <c r="A2033" s="18"/>
      <c r="B2033" s="9"/>
      <c r="C2033" s="1">
        <f t="shared" si="126"/>
        <v>9</v>
      </c>
      <c r="D2033" s="5">
        <f t="shared" si="126"/>
        <v>1.35</v>
      </c>
      <c r="F2033" s="1"/>
      <c r="G2033" s="4">
        <f t="shared" si="127"/>
        <v>12.15</v>
      </c>
      <c r="H2033" s="1" t="s">
        <v>10</v>
      </c>
      <c r="I2033" s="9"/>
      <c r="J2033" s="4"/>
      <c r="K2033" s="31"/>
    </row>
    <row r="2034" spans="1:11">
      <c r="A2034" s="18"/>
      <c r="B2034" s="9"/>
      <c r="C2034" s="1">
        <f t="shared" si="126"/>
        <v>5</v>
      </c>
      <c r="D2034" s="5">
        <f t="shared" si="126"/>
        <v>2.56</v>
      </c>
      <c r="F2034" s="1"/>
      <c r="G2034" s="4">
        <f t="shared" si="127"/>
        <v>12.8</v>
      </c>
      <c r="H2034" s="1" t="s">
        <v>10</v>
      </c>
      <c r="I2034" s="9"/>
      <c r="J2034" s="4"/>
      <c r="K2034" s="31"/>
    </row>
    <row r="2035" spans="1:11">
      <c r="A2035" s="18"/>
      <c r="B2035" s="9"/>
      <c r="C2035" s="1">
        <f t="shared" si="126"/>
        <v>1</v>
      </c>
      <c r="D2035" s="5">
        <f t="shared" si="126"/>
        <v>2.56</v>
      </c>
      <c r="F2035" s="1"/>
      <c r="G2035" s="4">
        <f t="shared" si="127"/>
        <v>2.56</v>
      </c>
      <c r="H2035" s="1" t="s">
        <v>10</v>
      </c>
      <c r="I2035" s="9"/>
      <c r="J2035" s="4"/>
      <c r="K2035" s="31"/>
    </row>
    <row r="2036" spans="1:11">
      <c r="A2036" s="18"/>
      <c r="B2036" s="9"/>
      <c r="C2036" s="1">
        <f t="shared" si="126"/>
        <v>1</v>
      </c>
      <c r="D2036" s="5">
        <f t="shared" si="126"/>
        <v>2.7149999999999999</v>
      </c>
      <c r="F2036" s="1"/>
      <c r="G2036" s="4">
        <f t="shared" si="127"/>
        <v>2.7149999999999999</v>
      </c>
      <c r="H2036" s="1" t="s">
        <v>10</v>
      </c>
      <c r="I2036" s="9"/>
      <c r="J2036" s="4"/>
      <c r="K2036" s="31"/>
    </row>
    <row r="2037" spans="1:11">
      <c r="A2037" s="18"/>
      <c r="B2037" s="9"/>
      <c r="C2037" s="1"/>
      <c r="D2037" s="5"/>
      <c r="F2037" s="1"/>
      <c r="G2037" s="4"/>
      <c r="H2037" s="24"/>
      <c r="I2037" s="9"/>
      <c r="J2037" s="4"/>
      <c r="K2037" s="31"/>
    </row>
    <row r="2038" spans="1:11">
      <c r="A2038" s="18"/>
      <c r="B2038" s="9"/>
      <c r="F2038" s="34" t="s">
        <v>11</v>
      </c>
      <c r="G2038" s="53">
        <f>SUM(G2028:G2037)</f>
        <v>155.82000000000002</v>
      </c>
      <c r="H2038" s="50" t="s">
        <v>49</v>
      </c>
      <c r="I2038" s="9"/>
      <c r="J2038" s="4"/>
      <c r="K2038" s="31"/>
    </row>
    <row r="2039" spans="1:11">
      <c r="A2039" s="18"/>
      <c r="B2039" s="9"/>
      <c r="F2039" s="56" t="s">
        <v>13</v>
      </c>
      <c r="G2039" s="27">
        <f>ROUNDUP(G2038,0)</f>
        <v>156</v>
      </c>
      <c r="H2039" s="28" t="s">
        <v>49</v>
      </c>
      <c r="I2039" s="9"/>
      <c r="J2039" s="4"/>
      <c r="K2039" s="31"/>
    </row>
    <row r="2040" spans="1:11">
      <c r="A2040" s="18"/>
      <c r="B2040" s="9"/>
      <c r="F2040" s="1"/>
      <c r="G2040" s="33"/>
      <c r="H2040" s="24"/>
      <c r="I2040" s="9"/>
      <c r="J2040" s="4"/>
      <c r="K2040" s="31"/>
    </row>
    <row r="2041" spans="1:11">
      <c r="A2041" s="18"/>
      <c r="B2041" s="15" t="s">
        <v>445</v>
      </c>
      <c r="F2041" s="1"/>
      <c r="G2041" s="33"/>
      <c r="H2041" s="24"/>
      <c r="I2041" s="9"/>
      <c r="J2041" s="4"/>
      <c r="K2041" s="31"/>
    </row>
    <row r="2042" spans="1:11">
      <c r="A2042" s="18"/>
      <c r="C2042" s="1">
        <f t="shared" ref="C2042:D2044" si="128">C2019</f>
        <v>25</v>
      </c>
      <c r="D2042" s="1">
        <f t="shared" si="128"/>
        <v>1.35</v>
      </c>
      <c r="F2042" s="1"/>
      <c r="G2042" s="4">
        <f>C2042*D2042</f>
        <v>33.75</v>
      </c>
      <c r="H2042" s="1" t="s">
        <v>49</v>
      </c>
      <c r="I2042" s="9"/>
      <c r="J2042" s="4"/>
      <c r="K2042" s="31"/>
    </row>
    <row r="2043" spans="1:11">
      <c r="A2043" s="18"/>
      <c r="B2043" s="9"/>
      <c r="C2043" s="1">
        <f t="shared" si="128"/>
        <v>1</v>
      </c>
      <c r="D2043" s="1">
        <f t="shared" si="128"/>
        <v>1.35</v>
      </c>
      <c r="F2043" s="1"/>
      <c r="G2043" s="4">
        <f>C2043*D2043</f>
        <v>1.35</v>
      </c>
      <c r="H2043" s="1" t="s">
        <v>10</v>
      </c>
      <c r="I2043" s="9"/>
      <c r="J2043" s="4"/>
      <c r="K2043" s="31"/>
    </row>
    <row r="2044" spans="1:11">
      <c r="A2044" s="18"/>
      <c r="B2044" s="9"/>
      <c r="C2044" s="1">
        <f t="shared" si="128"/>
        <v>1</v>
      </c>
      <c r="D2044" s="1">
        <f t="shared" si="128"/>
        <v>1.41</v>
      </c>
      <c r="F2044" s="1"/>
      <c r="G2044" s="4">
        <f>C2044*D2044</f>
        <v>1.41</v>
      </c>
      <c r="H2044" s="1" t="s">
        <v>10</v>
      </c>
      <c r="I2044" s="9"/>
      <c r="J2044" s="4"/>
      <c r="K2044" s="31"/>
    </row>
    <row r="2045" spans="1:11">
      <c r="A2045" s="18"/>
      <c r="B2045" s="9"/>
      <c r="C2045" s="1"/>
      <c r="D2045" s="5"/>
      <c r="F2045" s="1"/>
      <c r="G2045" s="4"/>
      <c r="H2045" s="24"/>
      <c r="I2045" s="9"/>
      <c r="J2045" s="4"/>
      <c r="K2045" s="31"/>
    </row>
    <row r="2046" spans="1:11">
      <c r="A2046" s="18"/>
      <c r="B2046" s="9"/>
      <c r="F2046" s="34" t="s">
        <v>11</v>
      </c>
      <c r="G2046" s="53">
        <f>SUM(G2042:G2045)</f>
        <v>36.51</v>
      </c>
      <c r="H2046" s="50" t="s">
        <v>49</v>
      </c>
      <c r="I2046" s="9"/>
      <c r="J2046" s="4"/>
      <c r="K2046" s="31"/>
    </row>
    <row r="2047" spans="1:11">
      <c r="A2047" s="18"/>
      <c r="B2047" s="15"/>
      <c r="F2047" s="56" t="s">
        <v>13</v>
      </c>
      <c r="G2047" s="27">
        <f>ROUNDUP(G2046,0)</f>
        <v>37</v>
      </c>
      <c r="H2047" s="28" t="s">
        <v>49</v>
      </c>
      <c r="I2047" s="9"/>
      <c r="J2047" s="4"/>
      <c r="K2047" s="31"/>
    </row>
    <row r="2048" spans="1:11">
      <c r="A2048" s="18"/>
      <c r="B2048" s="9"/>
      <c r="F2048" s="1"/>
      <c r="G2048" s="33"/>
      <c r="H2048" s="24"/>
      <c r="I2048" s="9"/>
      <c r="J2048" s="4"/>
      <c r="K2048" s="31"/>
    </row>
    <row r="2049" spans="1:15">
      <c r="A2049" s="18"/>
      <c r="B2049" s="15" t="s">
        <v>57</v>
      </c>
      <c r="F2049" s="1"/>
      <c r="G2049" s="33"/>
      <c r="H2049" s="24"/>
      <c r="I2049" s="9"/>
      <c r="J2049" s="4"/>
      <c r="K2049" s="31"/>
    </row>
    <row r="2050" spans="1:15">
      <c r="A2050" s="18"/>
      <c r="B2050" s="9"/>
      <c r="C2050" s="1">
        <f t="shared" ref="C2050:D2052" si="129">C2019</f>
        <v>25</v>
      </c>
      <c r="D2050" s="1">
        <f t="shared" si="129"/>
        <v>1.35</v>
      </c>
      <c r="F2050" s="1"/>
      <c r="G2050" s="4">
        <f>C2050*D2050</f>
        <v>33.75</v>
      </c>
      <c r="H2050" s="1" t="s">
        <v>49</v>
      </c>
      <c r="I2050" s="9"/>
      <c r="J2050" s="4"/>
      <c r="K2050" s="31"/>
    </row>
    <row r="2051" spans="1:15">
      <c r="A2051" s="18"/>
      <c r="B2051" s="9"/>
      <c r="C2051" s="1">
        <f t="shared" si="129"/>
        <v>1</v>
      </c>
      <c r="D2051" s="1">
        <f t="shared" si="129"/>
        <v>1.35</v>
      </c>
      <c r="F2051" s="1"/>
      <c r="G2051" s="4">
        <f>C2051*D2051</f>
        <v>1.35</v>
      </c>
      <c r="H2051" s="1" t="s">
        <v>10</v>
      </c>
      <c r="I2051" s="9"/>
      <c r="J2051" s="4"/>
      <c r="K2051" s="31"/>
    </row>
    <row r="2052" spans="1:15">
      <c r="A2052" s="18"/>
      <c r="B2052" s="9"/>
      <c r="C2052" s="1">
        <f t="shared" si="129"/>
        <v>1</v>
      </c>
      <c r="D2052" s="1">
        <f t="shared" si="129"/>
        <v>1.41</v>
      </c>
      <c r="F2052" s="1"/>
      <c r="G2052" s="4">
        <f>C2052*D2052</f>
        <v>1.41</v>
      </c>
      <c r="H2052" s="1" t="s">
        <v>10</v>
      </c>
      <c r="I2052" s="9"/>
      <c r="J2052" s="4"/>
      <c r="K2052" s="31"/>
    </row>
    <row r="2053" spans="1:15">
      <c r="A2053" s="18"/>
      <c r="B2053" s="9"/>
      <c r="C2053" s="1"/>
      <c r="D2053" s="5"/>
      <c r="F2053" s="1"/>
      <c r="G2053" s="4"/>
      <c r="H2053" s="1"/>
      <c r="I2053" s="9"/>
      <c r="J2053" s="4"/>
      <c r="K2053" s="31"/>
    </row>
    <row r="2054" spans="1:15">
      <c r="A2054" s="18"/>
      <c r="B2054" s="9"/>
      <c r="F2054" s="34" t="s">
        <v>11</v>
      </c>
      <c r="G2054" s="53">
        <f>SUM(G2050:G2053)</f>
        <v>36.51</v>
      </c>
      <c r="H2054" s="50" t="s">
        <v>49</v>
      </c>
      <c r="I2054" s="9"/>
      <c r="J2054" s="4"/>
      <c r="K2054" s="31"/>
    </row>
    <row r="2055" spans="1:15">
      <c r="A2055" s="18"/>
      <c r="B2055" s="9"/>
      <c r="F2055" s="56" t="s">
        <v>13</v>
      </c>
      <c r="G2055" s="27">
        <f>ROUNDUP(G2054,0)</f>
        <v>37</v>
      </c>
      <c r="H2055" s="28" t="s">
        <v>49</v>
      </c>
      <c r="I2055" s="9"/>
      <c r="J2055" s="4"/>
      <c r="K2055" s="31"/>
    </row>
    <row r="2056" spans="1:15">
      <c r="A2056" s="18"/>
      <c r="B2056" s="9"/>
      <c r="F2056" s="1"/>
      <c r="G2056" s="33"/>
      <c r="H2056" s="24"/>
      <c r="I2056" s="9"/>
      <c r="J2056" s="4"/>
      <c r="K2056" s="31"/>
    </row>
    <row r="2057" spans="1:15">
      <c r="A2057" s="18">
        <f>A2026+1</f>
        <v>58</v>
      </c>
      <c r="B2057" s="9" t="s">
        <v>410</v>
      </c>
      <c r="F2057" s="1"/>
      <c r="G2057" s="33"/>
      <c r="H2057" s="24"/>
      <c r="I2057" s="9"/>
      <c r="J2057" s="4"/>
      <c r="K2057" s="31"/>
    </row>
    <row r="2058" spans="1:15">
      <c r="A2058" s="29"/>
      <c r="B2058" s="15" t="s">
        <v>56</v>
      </c>
      <c r="F2058" s="1"/>
      <c r="G2058" s="33"/>
      <c r="H2058" s="24"/>
      <c r="I2058" s="9"/>
      <c r="J2058" s="4"/>
      <c r="K2058" s="31"/>
    </row>
    <row r="2059" spans="1:15">
      <c r="A2059" s="18"/>
      <c r="B2059" s="46" t="s">
        <v>100</v>
      </c>
      <c r="C2059" s="1">
        <v>9</v>
      </c>
      <c r="D2059" s="5">
        <v>1.8</v>
      </c>
      <c r="E2059" s="5">
        <v>0.3</v>
      </c>
      <c r="F2059" s="1"/>
      <c r="G2059" s="4">
        <f>C2059*D2059*E2059</f>
        <v>4.8599999999999994</v>
      </c>
      <c r="H2059" s="1" t="s">
        <v>17</v>
      </c>
      <c r="I2059" s="9"/>
      <c r="J2059" s="4"/>
      <c r="K2059" s="31"/>
    </row>
    <row r="2060" spans="1:15">
      <c r="A2060" s="18"/>
      <c r="B2060" s="46" t="s">
        <v>457</v>
      </c>
      <c r="C2060" s="1">
        <v>2</v>
      </c>
      <c r="D2060" s="5">
        <v>0.6</v>
      </c>
      <c r="E2060" s="5">
        <v>0.3</v>
      </c>
      <c r="F2060" s="1"/>
      <c r="G2060" s="4">
        <f>C2060*D2060*E2060</f>
        <v>0.36</v>
      </c>
      <c r="H2060" s="1" t="s">
        <v>10</v>
      </c>
      <c r="I2060" s="9"/>
      <c r="J2060" s="4"/>
      <c r="K2060" s="31"/>
    </row>
    <row r="2061" spans="1:15">
      <c r="A2061" s="18"/>
      <c r="B2061" s="46" t="s">
        <v>447</v>
      </c>
      <c r="C2061" s="1">
        <v>2</v>
      </c>
      <c r="D2061" s="5">
        <v>0.45</v>
      </c>
      <c r="E2061" s="5">
        <v>0.3</v>
      </c>
      <c r="F2061" s="1"/>
      <c r="G2061" s="4">
        <f>C2061*D2061*E2061</f>
        <v>0.27</v>
      </c>
      <c r="H2061" s="1" t="s">
        <v>10</v>
      </c>
      <c r="I2061" s="9"/>
      <c r="J2061" s="4"/>
      <c r="K2061" s="31"/>
    </row>
    <row r="2062" spans="1:15">
      <c r="A2062" s="18"/>
      <c r="B2062" s="46"/>
      <c r="C2062" s="1"/>
      <c r="D2062" s="5"/>
      <c r="E2062" s="5"/>
      <c r="F2062" s="1"/>
      <c r="G2062" s="4"/>
      <c r="H2062" s="1"/>
      <c r="I2062" s="9"/>
      <c r="J2062" s="4"/>
      <c r="K2062" s="31"/>
    </row>
    <row r="2063" spans="1:15">
      <c r="A2063" s="18"/>
      <c r="B2063" s="9"/>
      <c r="F2063" s="34" t="s">
        <v>11</v>
      </c>
      <c r="G2063" s="53">
        <f>SUM(G2059:G2062)</f>
        <v>5.49</v>
      </c>
      <c r="H2063" s="50" t="s">
        <v>17</v>
      </c>
      <c r="I2063" s="9"/>
      <c r="J2063" s="46"/>
      <c r="K2063" s="1"/>
      <c r="L2063" s="5"/>
      <c r="M2063" s="5"/>
      <c r="N2063" s="5"/>
      <c r="O2063" s="4"/>
    </row>
    <row r="2064" spans="1:15">
      <c r="A2064" s="18"/>
      <c r="B2064" s="9"/>
      <c r="F2064" s="56" t="s">
        <v>13</v>
      </c>
      <c r="G2064" s="27">
        <f>ROUNDUP(G2063,0)</f>
        <v>6</v>
      </c>
      <c r="H2064" s="28" t="s">
        <v>17</v>
      </c>
      <c r="I2064" s="9"/>
      <c r="J2064" s="46"/>
      <c r="K2064" s="1"/>
      <c r="L2064" s="5"/>
      <c r="M2064" s="5"/>
      <c r="N2064" s="5"/>
      <c r="O2064" s="4"/>
    </row>
    <row r="2065" spans="1:18">
      <c r="A2065" s="18"/>
      <c r="B2065" s="9"/>
      <c r="F2065" s="1"/>
      <c r="G2065" s="33"/>
      <c r="H2065" s="24"/>
      <c r="I2065" s="9"/>
      <c r="J2065" s="46"/>
      <c r="K2065" s="1"/>
      <c r="L2065" s="5"/>
      <c r="M2065" s="5"/>
      <c r="N2065" s="5"/>
      <c r="O2065" s="4"/>
    </row>
    <row r="2066" spans="1:18">
      <c r="A2066" s="18"/>
      <c r="B2066" s="15" t="s">
        <v>445</v>
      </c>
      <c r="F2066" s="1"/>
      <c r="G2066" s="33"/>
      <c r="H2066" s="24"/>
      <c r="I2066" s="9"/>
      <c r="J2066" s="4"/>
      <c r="K2066" s="31"/>
    </row>
    <row r="2067" spans="1:18">
      <c r="A2067" s="18"/>
      <c r="B2067" s="46" t="s">
        <v>100</v>
      </c>
      <c r="C2067" s="1">
        <v>4</v>
      </c>
      <c r="D2067" s="5">
        <v>1.8</v>
      </c>
      <c r="E2067" s="5">
        <v>0.3</v>
      </c>
      <c r="F2067" s="1"/>
      <c r="G2067" s="4">
        <f>C2067*D2067*E2067</f>
        <v>2.16</v>
      </c>
      <c r="H2067" s="1" t="s">
        <v>17</v>
      </c>
      <c r="I2067" s="9"/>
      <c r="J2067" s="4"/>
      <c r="K2067" s="31"/>
    </row>
    <row r="2068" spans="1:18">
      <c r="A2068" s="18"/>
      <c r="B2068" s="46" t="s">
        <v>102</v>
      </c>
      <c r="C2068" s="1">
        <v>2</v>
      </c>
      <c r="D2068" s="5">
        <v>1.2</v>
      </c>
      <c r="E2068" s="5">
        <v>0.3</v>
      </c>
      <c r="F2068" s="1"/>
      <c r="G2068" s="4">
        <f>C2068*D2068*E2068</f>
        <v>0.72</v>
      </c>
      <c r="H2068" s="24"/>
      <c r="I2068" s="9"/>
      <c r="J2068" s="4"/>
      <c r="K2068" s="31"/>
    </row>
    <row r="2069" spans="1:18">
      <c r="A2069" s="18"/>
      <c r="B2069" s="46" t="s">
        <v>446</v>
      </c>
      <c r="C2069" s="1">
        <v>2</v>
      </c>
      <c r="D2069" s="5">
        <v>1.2</v>
      </c>
      <c r="E2069" s="5">
        <v>0.3</v>
      </c>
      <c r="F2069" s="1"/>
      <c r="G2069" s="4">
        <f>C2069*D2069*E2069</f>
        <v>0.72</v>
      </c>
      <c r="H2069" s="24"/>
      <c r="I2069" s="9"/>
      <c r="J2069" s="46"/>
      <c r="K2069" s="1"/>
      <c r="L2069" s="5"/>
      <c r="M2069" s="1"/>
      <c r="N2069" s="5"/>
      <c r="O2069" s="4"/>
    </row>
    <row r="2070" spans="1:18">
      <c r="A2070" s="18"/>
      <c r="B2070" s="46" t="s">
        <v>447</v>
      </c>
      <c r="C2070" s="1">
        <v>2</v>
      </c>
      <c r="D2070" s="5">
        <v>0.45</v>
      </c>
      <c r="E2070" s="5">
        <v>0.3</v>
      </c>
      <c r="F2070" s="1"/>
      <c r="G2070" s="4">
        <f>C2070*D2070*E2070</f>
        <v>0.27</v>
      </c>
      <c r="H2070" s="24"/>
      <c r="I2070" s="9"/>
      <c r="J2070" s="46"/>
      <c r="K2070" s="1"/>
      <c r="L2070" s="5"/>
      <c r="M2070" s="1"/>
      <c r="N2070" s="5"/>
      <c r="O2070" s="4"/>
    </row>
    <row r="2071" spans="1:18">
      <c r="A2071" s="18"/>
      <c r="B2071" s="9"/>
      <c r="F2071" s="1"/>
      <c r="G2071" s="33"/>
      <c r="H2071" s="24"/>
      <c r="I2071" s="9"/>
      <c r="J2071" s="46"/>
      <c r="K2071" s="1"/>
      <c r="L2071" s="5"/>
      <c r="M2071" s="1"/>
      <c r="N2071" s="5"/>
      <c r="O2071" s="4"/>
      <c r="Q2071" s="1" t="s">
        <v>10</v>
      </c>
      <c r="R2071" s="9"/>
    </row>
    <row r="2072" spans="1:18">
      <c r="A2072" s="18"/>
      <c r="B2072" s="9"/>
      <c r="F2072" s="34" t="s">
        <v>11</v>
      </c>
      <c r="G2072" s="53">
        <f>SUM(G2067:G2071)</f>
        <v>3.8699999999999997</v>
      </c>
      <c r="H2072" s="50" t="s">
        <v>17</v>
      </c>
      <c r="I2072" s="9"/>
      <c r="J2072" s="46"/>
      <c r="K2072" s="1"/>
      <c r="L2072" s="5"/>
      <c r="M2072" s="1"/>
      <c r="N2072" s="5"/>
      <c r="O2072" s="4"/>
      <c r="Q2072" s="1" t="s">
        <v>10</v>
      </c>
      <c r="R2072" s="9"/>
    </row>
    <row r="2073" spans="1:18">
      <c r="A2073" s="18"/>
      <c r="B2073" s="9"/>
      <c r="F2073" s="56" t="s">
        <v>13</v>
      </c>
      <c r="G2073" s="27">
        <f>ROUNDUP(G2072,0)</f>
        <v>4</v>
      </c>
      <c r="H2073" s="28" t="s">
        <v>17</v>
      </c>
      <c r="I2073" s="9"/>
      <c r="J2073" s="4"/>
      <c r="K2073" s="31"/>
      <c r="Q2073" s="1" t="s">
        <v>10</v>
      </c>
      <c r="R2073" s="9"/>
    </row>
    <row r="2074" spans="1:18">
      <c r="A2074" s="18"/>
      <c r="B2074" s="9"/>
      <c r="F2074" s="1"/>
      <c r="G2074" s="33"/>
      <c r="H2074" s="24"/>
      <c r="I2074" s="9"/>
      <c r="J2074" s="4"/>
      <c r="K2074" s="31"/>
      <c r="Q2074" s="1" t="s">
        <v>10</v>
      </c>
      <c r="R2074" s="9"/>
    </row>
    <row r="2075" spans="1:18">
      <c r="A2075" s="18"/>
      <c r="B2075" s="15" t="s">
        <v>57</v>
      </c>
      <c r="F2075" s="1"/>
      <c r="G2075" s="33"/>
      <c r="H2075" s="24"/>
      <c r="I2075" s="9"/>
      <c r="J2075" s="46"/>
      <c r="K2075" s="1"/>
      <c r="L2075" s="5"/>
      <c r="M2075" s="1"/>
      <c r="N2075" s="5"/>
      <c r="O2075" s="4"/>
      <c r="P2075" s="1"/>
      <c r="Q2075" s="9"/>
    </row>
    <row r="2076" spans="1:18">
      <c r="A2076" s="18"/>
      <c r="B2076" s="46" t="s">
        <v>100</v>
      </c>
      <c r="C2076" s="1">
        <v>6</v>
      </c>
      <c r="D2076" s="5">
        <v>1.8</v>
      </c>
      <c r="E2076" s="5">
        <v>0.3</v>
      </c>
      <c r="F2076" s="1"/>
      <c r="G2076" s="4">
        <f>C2076*D2076*E2076</f>
        <v>3.24</v>
      </c>
      <c r="H2076" s="1" t="s">
        <v>17</v>
      </c>
      <c r="I2076" s="9"/>
      <c r="J2076" s="4"/>
      <c r="K2076" s="31"/>
    </row>
    <row r="2077" spans="1:18">
      <c r="A2077" s="18"/>
      <c r="B2077" s="9"/>
      <c r="F2077" s="56" t="s">
        <v>13</v>
      </c>
      <c r="G2077" s="27">
        <f>ROUNDUP(G2076,0)</f>
        <v>4</v>
      </c>
      <c r="H2077" s="28" t="s">
        <v>17</v>
      </c>
      <c r="I2077" s="9"/>
      <c r="J2077" s="4"/>
      <c r="K2077" s="31"/>
    </row>
    <row r="2078" spans="1:18">
      <c r="A2078" s="18"/>
      <c r="B2078" s="9"/>
      <c r="F2078" s="1"/>
      <c r="G2078" s="33"/>
      <c r="H2078" s="24"/>
      <c r="I2078" s="9"/>
      <c r="J2078" s="4"/>
      <c r="K2078" s="31"/>
    </row>
    <row r="2079" spans="1:18">
      <c r="A2079" s="18">
        <f>A2057+1</f>
        <v>59</v>
      </c>
      <c r="B2079" s="9" t="s">
        <v>119</v>
      </c>
      <c r="C2079" s="1"/>
      <c r="D2079" s="1"/>
      <c r="E2079" s="1"/>
      <c r="F2079" s="1"/>
      <c r="G2079" s="33"/>
      <c r="H2079" s="24"/>
      <c r="I2079" s="9"/>
      <c r="J2079" s="4"/>
      <c r="K2079" s="31"/>
    </row>
    <row r="2080" spans="1:18">
      <c r="A2080" s="18"/>
      <c r="B2080" s="15" t="s">
        <v>56</v>
      </c>
      <c r="C2080" s="31"/>
      <c r="D2080" s="31"/>
      <c r="E2080" s="31"/>
      <c r="F2080" s="31"/>
      <c r="H2080" s="31"/>
      <c r="I2080" s="9"/>
      <c r="J2080" s="4"/>
      <c r="K2080" s="31"/>
    </row>
    <row r="2081" spans="1:13">
      <c r="A2081" s="18"/>
      <c r="B2081" s="46" t="s">
        <v>537</v>
      </c>
      <c r="C2081" s="1">
        <v>1</v>
      </c>
      <c r="D2081" s="5">
        <v>3.2349999999999999</v>
      </c>
      <c r="E2081" s="5">
        <v>4.2699999999999996</v>
      </c>
      <c r="F2081" s="1"/>
      <c r="G2081" s="4">
        <f>C2081*D2081*E2081</f>
        <v>13.813449999999998</v>
      </c>
      <c r="H2081" s="1" t="s">
        <v>17</v>
      </c>
      <c r="I2081" s="9"/>
      <c r="J2081" s="4"/>
      <c r="K2081" s="31"/>
    </row>
    <row r="2082" spans="1:13">
      <c r="A2082" s="18"/>
      <c r="B2082" s="46" t="s">
        <v>136</v>
      </c>
      <c r="C2082" s="1">
        <v>1</v>
      </c>
      <c r="D2082" s="5">
        <v>4.97</v>
      </c>
      <c r="E2082" s="5">
        <v>4.2699999999999996</v>
      </c>
      <c r="F2082" s="1"/>
      <c r="G2082" s="4">
        <f t="shared" ref="G2082:G2090" si="130">C2082*D2082*E2082</f>
        <v>21.221899999999998</v>
      </c>
      <c r="H2082" s="1" t="s">
        <v>10</v>
      </c>
      <c r="I2082" s="9"/>
      <c r="J2082" s="4"/>
      <c r="K2082" s="31"/>
    </row>
    <row r="2083" spans="1:13">
      <c r="A2083" s="18"/>
      <c r="B2083" s="46" t="s">
        <v>473</v>
      </c>
      <c r="C2083" s="1">
        <v>1</v>
      </c>
      <c r="D2083" s="5">
        <v>2.4500000000000002</v>
      </c>
      <c r="E2083" s="5">
        <v>4.2699999999999996</v>
      </c>
      <c r="F2083" s="1"/>
      <c r="G2083" s="4">
        <f t="shared" si="130"/>
        <v>10.461499999999999</v>
      </c>
      <c r="H2083" s="1" t="s">
        <v>10</v>
      </c>
      <c r="I2083" s="9"/>
      <c r="J2083" s="4"/>
      <c r="K2083" s="31"/>
    </row>
    <row r="2084" spans="1:13">
      <c r="A2084" s="18"/>
      <c r="B2084" s="46"/>
      <c r="C2084" s="1">
        <v>1</v>
      </c>
      <c r="D2084" s="5">
        <v>1.43</v>
      </c>
      <c r="E2084" s="5">
        <v>1.58</v>
      </c>
      <c r="F2084" s="1"/>
      <c r="G2084" s="4">
        <f t="shared" si="130"/>
        <v>2.2593999999999999</v>
      </c>
      <c r="H2084" s="1" t="s">
        <v>10</v>
      </c>
      <c r="I2084" s="9"/>
      <c r="J2084" s="4"/>
      <c r="K2084" s="31"/>
    </row>
    <row r="2085" spans="1:13">
      <c r="A2085" s="18"/>
      <c r="B2085" s="46" t="s">
        <v>495</v>
      </c>
      <c r="C2085" s="1">
        <v>1</v>
      </c>
      <c r="D2085" s="5">
        <v>2.6949999999999998</v>
      </c>
      <c r="E2085" s="5">
        <v>1.1000000000000001</v>
      </c>
      <c r="F2085" s="1"/>
      <c r="G2085" s="4">
        <f t="shared" si="130"/>
        <v>2.9645000000000001</v>
      </c>
      <c r="H2085" s="1" t="s">
        <v>10</v>
      </c>
      <c r="I2085" s="9"/>
      <c r="J2085" s="4"/>
      <c r="K2085" s="31"/>
    </row>
    <row r="2086" spans="1:13">
      <c r="A2086" s="18"/>
      <c r="B2086" s="46"/>
      <c r="C2086" s="1">
        <v>1</v>
      </c>
      <c r="D2086" s="5">
        <v>2.2599999999999998</v>
      </c>
      <c r="E2086" s="5">
        <v>1.1200000000000001</v>
      </c>
      <c r="F2086" s="1"/>
      <c r="G2086" s="4">
        <f t="shared" si="130"/>
        <v>2.5312000000000001</v>
      </c>
      <c r="H2086" s="1" t="s">
        <v>10</v>
      </c>
      <c r="I2086" s="9"/>
      <c r="J2086" s="4"/>
      <c r="K2086" s="31"/>
    </row>
    <row r="2087" spans="1:13">
      <c r="A2087" s="18"/>
      <c r="B2087" s="46" t="s">
        <v>483</v>
      </c>
      <c r="C2087" s="1">
        <v>1</v>
      </c>
      <c r="D2087" s="5">
        <v>2.2149999999999999</v>
      </c>
      <c r="E2087" s="5">
        <v>2.5150000000000001</v>
      </c>
      <c r="F2087" s="1"/>
      <c r="G2087" s="4">
        <f t="shared" si="130"/>
        <v>5.5707249999999995</v>
      </c>
      <c r="H2087" s="1" t="s">
        <v>10</v>
      </c>
      <c r="I2087" s="9"/>
      <c r="J2087" s="4"/>
      <c r="K2087" s="31"/>
    </row>
    <row r="2088" spans="1:13">
      <c r="A2088" s="18"/>
      <c r="B2088" s="46" t="s">
        <v>482</v>
      </c>
      <c r="C2088" s="1">
        <v>1</v>
      </c>
      <c r="D2088" s="5">
        <v>3.3450000000000002</v>
      </c>
      <c r="E2088" s="5">
        <v>3.01</v>
      </c>
      <c r="F2088" s="1"/>
      <c r="G2088" s="4">
        <f t="shared" si="130"/>
        <v>10.06845</v>
      </c>
      <c r="H2088" s="1" t="s">
        <v>10</v>
      </c>
      <c r="I2088" s="9"/>
      <c r="J2088" s="4"/>
      <c r="K2088" s="31"/>
    </row>
    <row r="2089" spans="1:13">
      <c r="A2089" s="18"/>
      <c r="B2089" s="46" t="s">
        <v>538</v>
      </c>
      <c r="C2089" s="1">
        <v>1</v>
      </c>
      <c r="D2089" s="5">
        <v>2.2149999999999999</v>
      </c>
      <c r="E2089" s="5">
        <v>2.9</v>
      </c>
      <c r="F2089" s="1"/>
      <c r="G2089" s="4">
        <f t="shared" si="130"/>
        <v>6.4234999999999998</v>
      </c>
      <c r="H2089" s="1" t="s">
        <v>10</v>
      </c>
      <c r="I2089" s="9"/>
      <c r="J2089" s="4"/>
      <c r="K2089" s="31"/>
    </row>
    <row r="2090" spans="1:13">
      <c r="A2090" s="18"/>
      <c r="B2090" s="46"/>
      <c r="C2090" s="1">
        <v>1</v>
      </c>
      <c r="D2090" s="5">
        <v>2.6850000000000001</v>
      </c>
      <c r="E2090" s="5">
        <v>1.81</v>
      </c>
      <c r="F2090" s="1"/>
      <c r="G2090" s="4">
        <f t="shared" si="130"/>
        <v>4.8598500000000007</v>
      </c>
      <c r="H2090" s="1" t="s">
        <v>10</v>
      </c>
      <c r="I2090" s="9"/>
      <c r="J2090" s="4"/>
      <c r="K2090" s="31"/>
    </row>
    <row r="2091" spans="1:13">
      <c r="A2091" s="18"/>
      <c r="B2091" s="46"/>
      <c r="C2091" s="1"/>
      <c r="D2091" s="5"/>
      <c r="E2091" s="5"/>
      <c r="F2091" s="1"/>
      <c r="G2091" s="4"/>
      <c r="H2091" s="1"/>
      <c r="I2091" s="9"/>
      <c r="J2091" s="4"/>
      <c r="K2091" s="31"/>
    </row>
    <row r="2092" spans="1:13">
      <c r="A2092" s="18"/>
      <c r="B2092" s="9"/>
      <c r="C2092" s="1"/>
      <c r="D2092" s="5"/>
      <c r="E2092" s="5"/>
      <c r="F2092" s="34" t="s">
        <v>11</v>
      </c>
      <c r="G2092" s="53">
        <f>SUM(G2081:G2090)</f>
        <v>80.174474999999987</v>
      </c>
      <c r="H2092" s="50" t="s">
        <v>17</v>
      </c>
      <c r="I2092" s="9"/>
      <c r="J2092" s="4"/>
      <c r="K2092" s="31"/>
    </row>
    <row r="2093" spans="1:13">
      <c r="A2093" s="18"/>
      <c r="B2093" s="9"/>
      <c r="F2093" s="56" t="s">
        <v>13</v>
      </c>
      <c r="G2093" s="27">
        <f>ROUNDUP(G2092,0)</f>
        <v>81</v>
      </c>
      <c r="H2093" s="28" t="s">
        <v>17</v>
      </c>
      <c r="I2093" s="9"/>
      <c r="J2093" s="4"/>
      <c r="K2093" s="31"/>
    </row>
    <row r="2094" spans="1:13">
      <c r="A2094" s="18"/>
      <c r="F2094" s="1"/>
      <c r="G2094" s="33"/>
      <c r="H2094" s="24"/>
      <c r="I2094" s="9"/>
      <c r="J2094" s="4"/>
      <c r="K2094" s="31"/>
    </row>
    <row r="2095" spans="1:13">
      <c r="A2095" s="18"/>
      <c r="B2095" s="15" t="s">
        <v>445</v>
      </c>
      <c r="F2095" s="1"/>
      <c r="G2095" s="33"/>
      <c r="H2095" s="24"/>
      <c r="I2095" s="9"/>
      <c r="J2095" s="4"/>
      <c r="K2095" s="31"/>
    </row>
    <row r="2096" spans="1:13">
      <c r="A2096" s="18"/>
      <c r="B2096" s="46" t="s">
        <v>491</v>
      </c>
      <c r="C2096" s="1">
        <v>1</v>
      </c>
      <c r="D2096" s="5">
        <v>3.62</v>
      </c>
      <c r="E2096" s="5">
        <v>2.96</v>
      </c>
      <c r="F2096" s="1"/>
      <c r="G2096" s="4">
        <f>C2096*D2096*E2096</f>
        <v>10.715199999999999</v>
      </c>
      <c r="H2096" s="1" t="s">
        <v>17</v>
      </c>
      <c r="I2096" s="9"/>
      <c r="J2096" s="46"/>
      <c r="K2096" s="1"/>
      <c r="L2096" s="5"/>
      <c r="M2096" s="5"/>
    </row>
    <row r="2097" spans="1:14">
      <c r="A2097" s="18"/>
      <c r="B2097" s="46" t="s">
        <v>136</v>
      </c>
      <c r="C2097" s="1">
        <v>1</v>
      </c>
      <c r="D2097" s="5">
        <v>5.2750000000000004</v>
      </c>
      <c r="E2097" s="5">
        <v>5.4749999999999996</v>
      </c>
      <c r="F2097" s="1"/>
      <c r="G2097" s="4">
        <f t="shared" ref="G2097:G2115" si="131">C2097*D2097*E2097</f>
        <v>28.880624999999998</v>
      </c>
      <c r="H2097" s="1" t="s">
        <v>10</v>
      </c>
      <c r="I2097" s="9"/>
      <c r="J2097" s="46"/>
      <c r="K2097" s="1"/>
      <c r="L2097" s="5"/>
      <c r="M2097" s="5"/>
    </row>
    <row r="2098" spans="1:14">
      <c r="A2098" s="18"/>
      <c r="B2098" s="46"/>
      <c r="C2098" s="1">
        <v>1</v>
      </c>
      <c r="D2098" s="5">
        <v>4.2699999999999996</v>
      </c>
      <c r="E2098" s="5">
        <v>1.325</v>
      </c>
      <c r="F2098" s="1"/>
      <c r="G2098" s="4">
        <f t="shared" si="131"/>
        <v>5.6577499999999992</v>
      </c>
      <c r="H2098" s="1" t="s">
        <v>10</v>
      </c>
      <c r="I2098" s="9"/>
      <c r="J2098" s="46"/>
      <c r="K2098" s="1"/>
      <c r="L2098" s="5"/>
      <c r="M2098" s="5"/>
    </row>
    <row r="2099" spans="1:14">
      <c r="A2099" s="18"/>
      <c r="B2099" s="46" t="s">
        <v>493</v>
      </c>
      <c r="C2099" s="1">
        <v>1</v>
      </c>
      <c r="D2099" s="5">
        <v>22.035</v>
      </c>
      <c r="E2099" s="5">
        <v>4.2699999999999996</v>
      </c>
      <c r="F2099" s="1"/>
      <c r="G2099" s="4">
        <f t="shared" si="131"/>
        <v>94.089449999999985</v>
      </c>
      <c r="H2099" s="1" t="s">
        <v>10</v>
      </c>
      <c r="I2099" s="9"/>
      <c r="J2099" s="46"/>
      <c r="K2099" s="1"/>
      <c r="L2099" s="5"/>
      <c r="M2099" s="5"/>
    </row>
    <row r="2100" spans="1:14">
      <c r="A2100" s="18"/>
      <c r="B2100" s="46"/>
      <c r="C2100" s="1">
        <v>1</v>
      </c>
      <c r="D2100" s="5">
        <v>5.7050000000000001</v>
      </c>
      <c r="E2100" s="5">
        <v>4.875</v>
      </c>
      <c r="F2100" s="1"/>
      <c r="G2100" s="4">
        <f t="shared" si="131"/>
        <v>27.811875000000001</v>
      </c>
      <c r="H2100" s="1"/>
      <c r="I2100" s="9"/>
      <c r="J2100" s="46"/>
      <c r="K2100" s="1"/>
      <c r="L2100" s="5"/>
      <c r="M2100" s="5"/>
    </row>
    <row r="2101" spans="1:14">
      <c r="A2101" s="18"/>
      <c r="B2101" s="46" t="s">
        <v>494</v>
      </c>
      <c r="C2101" s="1">
        <v>1</v>
      </c>
      <c r="D2101" s="5">
        <v>3.43</v>
      </c>
      <c r="E2101" s="5">
        <v>5.59</v>
      </c>
      <c r="F2101" s="31"/>
      <c r="G2101" s="4">
        <f t="shared" si="131"/>
        <v>19.1737</v>
      </c>
      <c r="H2101" s="1" t="s">
        <v>10</v>
      </c>
      <c r="I2101" s="9"/>
      <c r="J2101" s="46"/>
      <c r="K2101" s="1"/>
      <c r="L2101" s="5"/>
      <c r="M2101" s="5"/>
    </row>
    <row r="2102" spans="1:14">
      <c r="A2102" s="18"/>
      <c r="B2102" s="46" t="s">
        <v>498</v>
      </c>
      <c r="C2102" s="1">
        <v>1</v>
      </c>
      <c r="D2102" s="5">
        <v>2.42</v>
      </c>
      <c r="E2102" s="5">
        <v>4.6150000000000002</v>
      </c>
      <c r="F2102" s="31"/>
      <c r="G2102" s="4">
        <f t="shared" si="131"/>
        <v>11.1683</v>
      </c>
      <c r="H2102" s="1" t="s">
        <v>10</v>
      </c>
      <c r="I2102" s="9"/>
      <c r="J2102" s="46"/>
      <c r="K2102" s="46"/>
      <c r="L2102" s="1"/>
      <c r="M2102" s="5"/>
      <c r="N2102" s="5"/>
    </row>
    <row r="2103" spans="1:14">
      <c r="A2103" s="18"/>
      <c r="B2103" s="46"/>
      <c r="C2103" s="1">
        <v>1</v>
      </c>
      <c r="D2103" s="5">
        <v>5.12</v>
      </c>
      <c r="E2103" s="5">
        <v>1.76</v>
      </c>
      <c r="F2103" s="31"/>
      <c r="G2103" s="4">
        <f t="shared" si="131"/>
        <v>9.0112000000000005</v>
      </c>
      <c r="H2103" s="1" t="s">
        <v>10</v>
      </c>
      <c r="I2103" s="9"/>
      <c r="J2103" s="46"/>
      <c r="K2103" s="74"/>
      <c r="L2103" s="1"/>
      <c r="M2103" s="5"/>
      <c r="N2103" s="5"/>
    </row>
    <row r="2104" spans="1:14">
      <c r="A2104" s="18"/>
      <c r="B2104" s="46" t="s">
        <v>500</v>
      </c>
      <c r="C2104" s="1">
        <v>1</v>
      </c>
      <c r="D2104" s="5">
        <v>4.8849999999999998</v>
      </c>
      <c r="E2104" s="5">
        <v>7.61</v>
      </c>
      <c r="F2104" s="1"/>
      <c r="G2104" s="4">
        <f t="shared" si="131"/>
        <v>37.174849999999999</v>
      </c>
      <c r="H2104" s="1" t="s">
        <v>10</v>
      </c>
      <c r="I2104" s="9"/>
      <c r="J2104" s="46"/>
      <c r="K2104" s="74"/>
      <c r="L2104" s="1"/>
      <c r="M2104" s="5"/>
      <c r="N2104" s="5"/>
    </row>
    <row r="2105" spans="1:14">
      <c r="A2105" s="18"/>
      <c r="B2105" s="46"/>
      <c r="C2105" s="1">
        <v>1</v>
      </c>
      <c r="D2105" s="5">
        <v>4.8849999999999998</v>
      </c>
      <c r="E2105" s="5">
        <v>2.25</v>
      </c>
      <c r="F2105" s="1"/>
      <c r="G2105" s="4">
        <f t="shared" si="131"/>
        <v>10.991249999999999</v>
      </c>
      <c r="H2105" s="1" t="s">
        <v>10</v>
      </c>
      <c r="I2105" s="9"/>
      <c r="J2105" s="46"/>
      <c r="K2105" s="74"/>
      <c r="L2105" s="1"/>
      <c r="M2105" s="5"/>
      <c r="N2105" s="5"/>
    </row>
    <row r="2106" spans="1:14">
      <c r="A2106" s="18"/>
      <c r="B2106" s="46" t="s">
        <v>501</v>
      </c>
      <c r="C2106" s="1">
        <v>1</v>
      </c>
      <c r="D2106" s="5">
        <v>3.1549999999999998</v>
      </c>
      <c r="E2106" s="5">
        <v>5.23</v>
      </c>
      <c r="F2106" s="31"/>
      <c r="G2106" s="4">
        <f t="shared" si="131"/>
        <v>16.50065</v>
      </c>
      <c r="H2106" s="1" t="s">
        <v>10</v>
      </c>
      <c r="I2106" s="9"/>
      <c r="J2106" s="46"/>
      <c r="K2106" s="74"/>
      <c r="L2106" s="1"/>
      <c r="M2106" s="5"/>
      <c r="N2106" s="5"/>
    </row>
    <row r="2107" spans="1:14">
      <c r="A2107" s="18"/>
      <c r="B2107" s="46" t="s">
        <v>503</v>
      </c>
      <c r="C2107" s="1">
        <v>1</v>
      </c>
      <c r="D2107" s="5">
        <v>4.8849999999999998</v>
      </c>
      <c r="E2107" s="5">
        <v>4.2149999999999999</v>
      </c>
      <c r="F2107" s="1"/>
      <c r="G2107" s="4">
        <f t="shared" si="131"/>
        <v>20.590274999999998</v>
      </c>
      <c r="H2107" s="1" t="s">
        <v>10</v>
      </c>
      <c r="I2107" s="9"/>
      <c r="J2107" s="46"/>
      <c r="K2107" s="74"/>
      <c r="L2107" s="1"/>
      <c r="M2107" s="5"/>
      <c r="N2107" s="5"/>
    </row>
    <row r="2108" spans="1:14">
      <c r="A2108" s="18"/>
      <c r="B2108" s="46"/>
      <c r="C2108" s="1">
        <v>1</v>
      </c>
      <c r="D2108" s="5">
        <v>2.29</v>
      </c>
      <c r="E2108" s="5">
        <v>2.5150000000000001</v>
      </c>
      <c r="F2108" s="1"/>
      <c r="G2108" s="4">
        <f t="shared" si="131"/>
        <v>5.7593500000000004</v>
      </c>
      <c r="H2108" s="1" t="s">
        <v>10</v>
      </c>
      <c r="I2108" s="9"/>
      <c r="J2108" s="46"/>
      <c r="K2108" s="74"/>
      <c r="L2108" s="1"/>
      <c r="M2108" s="5"/>
      <c r="N2108" s="5"/>
    </row>
    <row r="2109" spans="1:14">
      <c r="A2109" s="18"/>
      <c r="B2109" s="46" t="s">
        <v>136</v>
      </c>
      <c r="C2109" s="1">
        <v>1</v>
      </c>
      <c r="D2109" s="5">
        <v>4.7699999999999996</v>
      </c>
      <c r="E2109" s="5">
        <v>4.63</v>
      </c>
      <c r="F2109" s="1"/>
      <c r="G2109" s="4">
        <f t="shared" si="131"/>
        <v>22.085099999999997</v>
      </c>
      <c r="H2109" s="1" t="s">
        <v>10</v>
      </c>
      <c r="I2109" s="9"/>
      <c r="J2109" s="46"/>
      <c r="K2109" s="74"/>
      <c r="L2109" s="1"/>
      <c r="M2109" s="5"/>
      <c r="N2109" s="5"/>
    </row>
    <row r="2110" spans="1:14">
      <c r="A2110" s="18"/>
      <c r="B2110" s="46"/>
      <c r="C2110" s="1">
        <v>1</v>
      </c>
      <c r="D2110" s="5">
        <v>1.8</v>
      </c>
      <c r="E2110" s="5">
        <v>5</v>
      </c>
      <c r="F2110" s="1"/>
      <c r="G2110" s="4">
        <f t="shared" si="131"/>
        <v>9</v>
      </c>
      <c r="H2110" s="1" t="s">
        <v>10</v>
      </c>
      <c r="I2110" s="9"/>
      <c r="J2110" s="46"/>
      <c r="K2110" s="74"/>
      <c r="L2110" s="1"/>
      <c r="M2110" s="5"/>
      <c r="N2110" s="5"/>
    </row>
    <row r="2111" spans="1:14">
      <c r="A2111" s="18"/>
      <c r="B2111" s="46" t="s">
        <v>509</v>
      </c>
      <c r="C2111" s="1">
        <v>1</v>
      </c>
      <c r="D2111" s="5">
        <v>7.8550000000000004</v>
      </c>
      <c r="E2111" s="5">
        <v>4.8849999999999998</v>
      </c>
      <c r="F2111" s="1"/>
      <c r="G2111" s="4">
        <f t="shared" si="131"/>
        <v>38.371675000000003</v>
      </c>
      <c r="H2111" s="1" t="s">
        <v>10</v>
      </c>
      <c r="I2111" s="9"/>
      <c r="J2111" s="46"/>
      <c r="K2111" s="46"/>
      <c r="L2111" s="1"/>
      <c r="M2111" s="5"/>
      <c r="N2111" s="5"/>
    </row>
    <row r="2112" spans="1:14">
      <c r="A2112" s="18"/>
      <c r="B2112" s="46" t="s">
        <v>507</v>
      </c>
      <c r="C2112" s="1">
        <v>1</v>
      </c>
      <c r="D2112" s="5">
        <v>5</v>
      </c>
      <c r="E2112" s="5">
        <v>3.1549999999999998</v>
      </c>
      <c r="F2112" s="1"/>
      <c r="G2112" s="4">
        <f t="shared" si="131"/>
        <v>15.774999999999999</v>
      </c>
      <c r="H2112" s="1" t="s">
        <v>10</v>
      </c>
      <c r="I2112" s="9"/>
      <c r="J2112" s="46"/>
      <c r="K2112" s="46"/>
      <c r="L2112" s="1"/>
      <c r="M2112" s="5"/>
      <c r="N2112" s="5"/>
    </row>
    <row r="2113" spans="1:18">
      <c r="A2113" s="18"/>
      <c r="B2113" s="46" t="s">
        <v>508</v>
      </c>
      <c r="C2113" s="1">
        <v>1</v>
      </c>
      <c r="D2113" s="5">
        <v>5.43</v>
      </c>
      <c r="E2113" s="5">
        <v>4.7699999999999996</v>
      </c>
      <c r="F2113" s="1"/>
      <c r="G2113" s="4">
        <f t="shared" si="131"/>
        <v>25.901099999999996</v>
      </c>
      <c r="H2113" s="1" t="s">
        <v>10</v>
      </c>
      <c r="I2113" s="9"/>
      <c r="J2113" s="46"/>
      <c r="K2113" s="46"/>
      <c r="L2113" s="1"/>
      <c r="M2113" s="5"/>
      <c r="N2113" s="5"/>
    </row>
    <row r="2114" spans="1:18">
      <c r="A2114" s="18"/>
      <c r="B2114" s="46" t="s">
        <v>113</v>
      </c>
      <c r="C2114" s="1">
        <v>2</v>
      </c>
      <c r="D2114" s="5">
        <v>2.3279999999999998</v>
      </c>
      <c r="E2114" s="5">
        <v>1.5</v>
      </c>
      <c r="F2114" s="1"/>
      <c r="G2114" s="4">
        <f t="shared" si="131"/>
        <v>6.984</v>
      </c>
      <c r="H2114" s="1" t="s">
        <v>10</v>
      </c>
      <c r="I2114" s="9"/>
      <c r="J2114" s="46"/>
      <c r="K2114" s="46"/>
      <c r="L2114" s="1"/>
      <c r="M2114" s="5"/>
      <c r="N2114" s="5"/>
    </row>
    <row r="2115" spans="1:18">
      <c r="A2115" s="18"/>
      <c r="B2115" s="46" t="s">
        <v>539</v>
      </c>
      <c r="C2115" s="1">
        <v>1</v>
      </c>
      <c r="D2115" s="5">
        <v>1.2</v>
      </c>
      <c r="E2115" s="5">
        <v>9.77</v>
      </c>
      <c r="F2115" s="1"/>
      <c r="G2115" s="4">
        <f t="shared" si="131"/>
        <v>11.723999999999998</v>
      </c>
      <c r="H2115" s="1" t="s">
        <v>10</v>
      </c>
      <c r="I2115" s="9"/>
      <c r="J2115" s="46"/>
      <c r="K2115" s="1"/>
      <c r="L2115" s="1"/>
      <c r="M2115" s="5"/>
      <c r="N2115" s="5"/>
    </row>
    <row r="2116" spans="1:18">
      <c r="A2116" s="18"/>
      <c r="B2116" s="46"/>
      <c r="C2116" s="1"/>
      <c r="D2116" s="5"/>
      <c r="E2116" s="5"/>
      <c r="F2116" s="1"/>
      <c r="G2116" s="4"/>
      <c r="H2116" s="1"/>
      <c r="I2116" s="9"/>
      <c r="J2116" s="46"/>
      <c r="K2116" s="1"/>
      <c r="L2116" s="1"/>
      <c r="M2116" s="5"/>
      <c r="N2116" s="5"/>
    </row>
    <row r="2117" spans="1:18">
      <c r="A2117" s="18"/>
      <c r="B2117" s="9"/>
      <c r="C2117" s="1"/>
      <c r="D2117" s="5"/>
      <c r="E2117" s="5"/>
      <c r="F2117" s="34" t="s">
        <v>11</v>
      </c>
      <c r="G2117" s="53">
        <f>SUM(G2096:G2116)</f>
        <v>427.36534999999992</v>
      </c>
      <c r="H2117" s="50" t="s">
        <v>17</v>
      </c>
      <c r="I2117" s="9"/>
      <c r="J2117" s="1"/>
      <c r="K2117" s="46"/>
      <c r="L2117" s="1"/>
      <c r="M2117" s="5"/>
      <c r="N2117" s="5"/>
    </row>
    <row r="2118" spans="1:18">
      <c r="A2118" s="18"/>
      <c r="B2118" s="9"/>
      <c r="F2118" s="56" t="s">
        <v>13</v>
      </c>
      <c r="G2118" s="27">
        <f>ROUNDUP(G2117,0)</f>
        <v>428</v>
      </c>
      <c r="H2118" s="28" t="s">
        <v>17</v>
      </c>
      <c r="I2118" s="9"/>
      <c r="J2118" s="4"/>
      <c r="K2118" s="46"/>
      <c r="L2118" s="1"/>
      <c r="M2118" s="5"/>
      <c r="N2118" s="5"/>
    </row>
    <row r="2119" spans="1:18">
      <c r="A2119" s="18"/>
      <c r="B2119" s="9"/>
      <c r="F2119" s="1"/>
      <c r="G2119" s="33"/>
      <c r="H2119" s="24"/>
      <c r="I2119" s="9"/>
      <c r="J2119" s="4"/>
      <c r="K2119" s="31"/>
      <c r="O2119" s="5"/>
      <c r="P2119" s="4"/>
      <c r="Q2119" s="1" t="s">
        <v>17</v>
      </c>
      <c r="R2119" s="9"/>
    </row>
    <row r="2120" spans="1:18">
      <c r="A2120" s="18"/>
      <c r="B2120" s="15" t="s">
        <v>57</v>
      </c>
      <c r="C2120" s="31"/>
      <c r="D2120" s="31"/>
      <c r="E2120" s="31"/>
      <c r="F2120" s="31"/>
      <c r="H2120" s="31"/>
      <c r="I2120" s="9"/>
      <c r="J2120" s="4"/>
      <c r="K2120" s="31"/>
      <c r="O2120" s="5"/>
      <c r="P2120" s="4"/>
      <c r="Q2120" s="1" t="s">
        <v>10</v>
      </c>
      <c r="R2120" s="9"/>
    </row>
    <row r="2121" spans="1:18">
      <c r="A2121" s="18"/>
      <c r="B2121" s="46" t="s">
        <v>509</v>
      </c>
      <c r="C2121" s="1">
        <v>1</v>
      </c>
      <c r="D2121" s="5">
        <v>4.7699999999999996</v>
      </c>
      <c r="E2121" s="5">
        <v>9.77</v>
      </c>
      <c r="F2121" s="1"/>
      <c r="G2121" s="4">
        <f>C2121*D2121*E2121</f>
        <v>46.602899999999991</v>
      </c>
      <c r="H2121" s="1" t="s">
        <v>17</v>
      </c>
      <c r="I2121" s="9"/>
      <c r="J2121" s="4"/>
      <c r="K2121" s="31"/>
      <c r="O2121" s="5"/>
      <c r="P2121" s="4"/>
      <c r="Q2121" s="1" t="s">
        <v>10</v>
      </c>
      <c r="R2121" s="9"/>
    </row>
    <row r="2122" spans="1:18">
      <c r="A2122" s="18"/>
      <c r="B2122" s="46" t="s">
        <v>509</v>
      </c>
      <c r="C2122" s="1">
        <v>1</v>
      </c>
      <c r="D2122" s="5">
        <v>7.8550000000000004</v>
      </c>
      <c r="E2122" s="5">
        <v>4.8849999999999998</v>
      </c>
      <c r="F2122" s="1"/>
      <c r="G2122" s="4">
        <f t="shared" ref="G2122:G2130" si="132">C2122*D2122*E2122</f>
        <v>38.371675000000003</v>
      </c>
      <c r="H2122" s="1" t="s">
        <v>10</v>
      </c>
      <c r="I2122" s="9"/>
      <c r="J2122" s="4"/>
      <c r="K2122" s="31"/>
      <c r="O2122" s="5"/>
      <c r="P2122" s="4"/>
      <c r="Q2122" s="1"/>
      <c r="R2122" s="9"/>
    </row>
    <row r="2123" spans="1:18">
      <c r="A2123" s="18"/>
      <c r="B2123" s="74"/>
      <c r="C2123" s="1">
        <v>1</v>
      </c>
      <c r="D2123" s="5">
        <v>1.8</v>
      </c>
      <c r="E2123" s="5">
        <v>4.7699999999999996</v>
      </c>
      <c r="F2123" s="1"/>
      <c r="G2123" s="4">
        <f t="shared" si="132"/>
        <v>8.5860000000000003</v>
      </c>
      <c r="H2123" s="1" t="s">
        <v>10</v>
      </c>
      <c r="I2123" s="9"/>
      <c r="J2123" s="4"/>
      <c r="K2123" s="31"/>
      <c r="O2123" s="5"/>
      <c r="P2123" s="4"/>
      <c r="Q2123" s="1"/>
      <c r="R2123" s="9"/>
    </row>
    <row r="2124" spans="1:18">
      <c r="A2124" s="18"/>
      <c r="B2124" s="74" t="s">
        <v>136</v>
      </c>
      <c r="C2124" s="1">
        <v>1</v>
      </c>
      <c r="D2124" s="5">
        <v>4.7699999999999996</v>
      </c>
      <c r="E2124" s="5">
        <v>4.63</v>
      </c>
      <c r="F2124" s="1"/>
      <c r="G2124" s="4">
        <f t="shared" si="132"/>
        <v>22.085099999999997</v>
      </c>
      <c r="H2124" s="1" t="s">
        <v>10</v>
      </c>
      <c r="I2124" s="9"/>
      <c r="J2124" s="4"/>
      <c r="K2124" s="31"/>
      <c r="O2124" s="5"/>
      <c r="P2124" s="4"/>
      <c r="Q2124" s="1"/>
      <c r="R2124" s="9"/>
    </row>
    <row r="2125" spans="1:18">
      <c r="A2125" s="18"/>
      <c r="B2125" s="74" t="s">
        <v>501</v>
      </c>
      <c r="C2125" s="1">
        <v>1</v>
      </c>
      <c r="D2125" s="5">
        <v>3.1549999999999998</v>
      </c>
      <c r="E2125" s="5">
        <v>5.23</v>
      </c>
      <c r="F2125" s="1"/>
      <c r="G2125" s="4">
        <f t="shared" si="132"/>
        <v>16.50065</v>
      </c>
      <c r="H2125" s="1" t="s">
        <v>10</v>
      </c>
      <c r="I2125" s="9"/>
      <c r="J2125" s="4"/>
      <c r="K2125" s="31"/>
      <c r="O2125" s="5"/>
      <c r="P2125" s="4"/>
      <c r="Q2125" s="1"/>
      <c r="R2125" s="9"/>
    </row>
    <row r="2126" spans="1:18">
      <c r="A2126" s="18"/>
      <c r="B2126" s="74" t="s">
        <v>510</v>
      </c>
      <c r="C2126" s="1">
        <v>1</v>
      </c>
      <c r="D2126" s="5">
        <v>1.5780000000000001</v>
      </c>
      <c r="E2126" s="5">
        <v>2.5</v>
      </c>
      <c r="F2126" s="1"/>
      <c r="G2126" s="4">
        <f t="shared" si="132"/>
        <v>3.9450000000000003</v>
      </c>
      <c r="H2126" s="1" t="s">
        <v>10</v>
      </c>
      <c r="I2126" s="9"/>
      <c r="J2126" s="4"/>
      <c r="K2126" s="31"/>
      <c r="O2126" s="5"/>
      <c r="P2126" s="4"/>
      <c r="Q2126" s="1"/>
      <c r="R2126" s="9"/>
    </row>
    <row r="2127" spans="1:18">
      <c r="A2127" s="18"/>
      <c r="B2127" s="74" t="s">
        <v>502</v>
      </c>
      <c r="C2127" s="1">
        <v>1</v>
      </c>
      <c r="D2127" s="5">
        <v>1.5</v>
      </c>
      <c r="E2127" s="5">
        <v>1.41</v>
      </c>
      <c r="F2127" s="1"/>
      <c r="G2127" s="4">
        <f t="shared" si="132"/>
        <v>2.1149999999999998</v>
      </c>
      <c r="H2127" s="1" t="s">
        <v>10</v>
      </c>
      <c r="I2127" s="9"/>
      <c r="J2127" s="4"/>
      <c r="K2127" s="31"/>
      <c r="O2127" s="5"/>
      <c r="P2127" s="4"/>
      <c r="Q2127" s="1"/>
      <c r="R2127" s="9"/>
    </row>
    <row r="2128" spans="1:18">
      <c r="A2128" s="18"/>
      <c r="B2128" s="46" t="s">
        <v>503</v>
      </c>
      <c r="C2128" s="1">
        <v>1</v>
      </c>
      <c r="D2128" s="5">
        <v>4.8849999999999998</v>
      </c>
      <c r="E2128" s="5">
        <v>4.2149999999999999</v>
      </c>
      <c r="F2128" s="1"/>
      <c r="G2128" s="4">
        <f t="shared" si="132"/>
        <v>20.590274999999998</v>
      </c>
      <c r="H2128" s="1" t="s">
        <v>10</v>
      </c>
      <c r="I2128" s="9"/>
      <c r="J2128" s="4"/>
      <c r="K2128" s="31"/>
      <c r="O2128" s="5"/>
      <c r="P2128" s="4"/>
      <c r="Q2128" s="1"/>
      <c r="R2128" s="9"/>
    </row>
    <row r="2129" spans="1:18">
      <c r="A2129" s="18"/>
      <c r="B2129" s="46"/>
      <c r="C2129" s="1">
        <v>1</v>
      </c>
      <c r="D2129" s="5">
        <v>2.29</v>
      </c>
      <c r="E2129" s="5">
        <v>2.5150000000000001</v>
      </c>
      <c r="F2129" s="1"/>
      <c r="G2129" s="4">
        <f t="shared" si="132"/>
        <v>5.7593500000000004</v>
      </c>
      <c r="H2129" s="1" t="s">
        <v>10</v>
      </c>
      <c r="I2129" s="9"/>
      <c r="J2129" s="4"/>
      <c r="K2129" s="31"/>
      <c r="O2129" s="5"/>
      <c r="P2129" s="4"/>
      <c r="Q2129" s="1"/>
      <c r="R2129" s="9"/>
    </row>
    <row r="2130" spans="1:18">
      <c r="A2130" s="18"/>
      <c r="B2130" s="46" t="s">
        <v>539</v>
      </c>
      <c r="C2130" s="1">
        <v>1</v>
      </c>
      <c r="D2130" s="5">
        <v>9.75</v>
      </c>
      <c r="E2130" s="5">
        <v>1.2749999999999999</v>
      </c>
      <c r="F2130" s="1"/>
      <c r="G2130" s="4">
        <f t="shared" si="132"/>
        <v>12.431249999999999</v>
      </c>
      <c r="H2130" s="1" t="s">
        <v>10</v>
      </c>
      <c r="I2130" s="9"/>
      <c r="J2130" s="4"/>
      <c r="K2130" s="31"/>
      <c r="O2130" s="5"/>
      <c r="P2130" s="4"/>
      <c r="Q2130" s="1"/>
      <c r="R2130" s="9"/>
    </row>
    <row r="2131" spans="1:18">
      <c r="A2131" s="18"/>
      <c r="B2131" s="85"/>
      <c r="C2131" s="1"/>
      <c r="D2131" s="5"/>
      <c r="E2131" s="1"/>
      <c r="F2131" s="1"/>
      <c r="G2131" s="4"/>
      <c r="H2131" s="1"/>
      <c r="I2131" s="9"/>
      <c r="J2131" s="4"/>
      <c r="K2131" s="31"/>
      <c r="O2131" s="5"/>
      <c r="P2131" s="4"/>
      <c r="Q2131" s="1"/>
      <c r="R2131" s="9"/>
    </row>
    <row r="2132" spans="1:18">
      <c r="A2132" s="18"/>
      <c r="B2132" s="9"/>
      <c r="C2132" s="1"/>
      <c r="D2132" s="5"/>
      <c r="E2132" s="5"/>
      <c r="F2132" s="34" t="s">
        <v>11</v>
      </c>
      <c r="G2132" s="53">
        <f>SUM(G2121:G2131)</f>
        <v>176.9872</v>
      </c>
      <c r="H2132" s="50" t="s">
        <v>17</v>
      </c>
      <c r="I2132" s="9"/>
      <c r="J2132" s="4"/>
      <c r="K2132" s="31"/>
      <c r="O2132" s="5"/>
      <c r="P2132" s="4"/>
      <c r="Q2132" s="1" t="s">
        <v>10</v>
      </c>
      <c r="R2132" s="9"/>
    </row>
    <row r="2133" spans="1:18">
      <c r="A2133" s="18"/>
      <c r="B2133" s="9"/>
      <c r="F2133" s="56" t="s">
        <v>13</v>
      </c>
      <c r="G2133" s="27">
        <f>ROUNDUP(G2132,0)</f>
        <v>177</v>
      </c>
      <c r="H2133" s="28" t="s">
        <v>17</v>
      </c>
      <c r="I2133" s="9"/>
      <c r="J2133" s="31"/>
      <c r="K2133" s="31"/>
      <c r="O2133" s="5"/>
      <c r="P2133" s="4"/>
      <c r="Q2133" s="1" t="s">
        <v>10</v>
      </c>
      <c r="R2133" s="9"/>
    </row>
    <row r="2134" spans="1:18">
      <c r="A2134" s="18"/>
      <c r="B2134" s="9"/>
      <c r="F2134" s="1"/>
      <c r="G2134" s="33"/>
      <c r="H2134" s="24"/>
      <c r="I2134" s="9"/>
      <c r="J2134" s="31"/>
      <c r="K2134" s="31"/>
      <c r="O2134" s="5"/>
      <c r="P2134" s="4"/>
      <c r="Q2134" s="1" t="s">
        <v>10</v>
      </c>
      <c r="R2134" s="9"/>
    </row>
    <row r="2135" spans="1:18">
      <c r="A2135" s="18"/>
      <c r="B2135" s="9"/>
      <c r="F2135" s="1"/>
      <c r="G2135" s="33"/>
      <c r="H2135" s="24"/>
      <c r="I2135" s="9"/>
      <c r="J2135" s="31"/>
      <c r="K2135" s="31"/>
      <c r="O2135" s="5"/>
      <c r="P2135" s="4"/>
      <c r="Q2135" s="1"/>
      <c r="R2135" s="9"/>
    </row>
    <row r="2136" spans="1:18">
      <c r="A2136" s="18">
        <f>A2079+1</f>
        <v>60</v>
      </c>
      <c r="B2136" s="9" t="s">
        <v>398</v>
      </c>
      <c r="C2136" s="1"/>
      <c r="D2136" s="5"/>
      <c r="E2136" s="1"/>
      <c r="F2136" s="5"/>
      <c r="G2136" s="4"/>
      <c r="H2136" s="1"/>
      <c r="I2136" s="46"/>
      <c r="J2136" s="31"/>
      <c r="K2136" s="31"/>
      <c r="O2136" s="5"/>
      <c r="P2136" s="4"/>
      <c r="Q2136" s="1"/>
      <c r="R2136" s="9"/>
    </row>
    <row r="2137" spans="1:18">
      <c r="A2137" s="18"/>
      <c r="B2137" s="46" t="s">
        <v>513</v>
      </c>
      <c r="C2137" s="1">
        <v>1</v>
      </c>
      <c r="D2137" s="5">
        <f>(3.235+4.27)*2</f>
        <v>15.009999999999998</v>
      </c>
      <c r="E2137" s="1"/>
      <c r="F2137" s="5">
        <v>0.1</v>
      </c>
      <c r="G2137" s="4">
        <f>C2137*D2137*F2137</f>
        <v>1.5009999999999999</v>
      </c>
      <c r="H2137" s="1" t="s">
        <v>17</v>
      </c>
      <c r="I2137" s="46"/>
      <c r="J2137" s="31"/>
      <c r="K2137" s="31"/>
      <c r="O2137" s="5"/>
      <c r="P2137" s="4"/>
      <c r="Q2137" s="1"/>
      <c r="R2137" s="9"/>
    </row>
    <row r="2138" spans="1:18">
      <c r="A2138" s="18"/>
      <c r="B2138" s="46" t="s">
        <v>116</v>
      </c>
      <c r="C2138" s="1">
        <v>1</v>
      </c>
      <c r="D2138" s="5">
        <f>(2.45+4.27)*2</f>
        <v>13.44</v>
      </c>
      <c r="E2138" s="1"/>
      <c r="F2138" s="5">
        <v>0.1</v>
      </c>
      <c r="G2138" s="4">
        <f t="shared" ref="G2138:G2158" si="133">C2138*D2138*F2138</f>
        <v>1.3440000000000001</v>
      </c>
      <c r="H2138" s="1" t="s">
        <v>10</v>
      </c>
      <c r="I2138" s="46"/>
      <c r="J2138" s="31"/>
      <c r="K2138" s="31"/>
      <c r="O2138" s="5"/>
      <c r="P2138" s="4"/>
      <c r="Q2138" s="1"/>
      <c r="R2138" s="9"/>
    </row>
    <row r="2139" spans="1:18">
      <c r="A2139" s="18"/>
      <c r="B2139" s="46" t="s">
        <v>514</v>
      </c>
      <c r="C2139" s="1">
        <v>1</v>
      </c>
      <c r="D2139" s="5">
        <f>(7.605+4.27)*2</f>
        <v>23.75</v>
      </c>
      <c r="E2139" s="1"/>
      <c r="F2139" s="5">
        <v>0.1</v>
      </c>
      <c r="G2139" s="4">
        <f t="shared" si="133"/>
        <v>2.375</v>
      </c>
      <c r="H2139" s="1" t="s">
        <v>10</v>
      </c>
      <c r="I2139" s="46"/>
      <c r="J2139" s="31"/>
      <c r="K2139" s="31"/>
      <c r="O2139" s="5"/>
      <c r="P2139" s="4"/>
      <c r="Q2139" s="1"/>
      <c r="R2139" s="9"/>
    </row>
    <row r="2140" spans="1:18">
      <c r="A2140" s="18"/>
      <c r="B2140" s="46" t="s">
        <v>541</v>
      </c>
      <c r="C2140" s="1">
        <v>1</v>
      </c>
      <c r="D2140" s="5">
        <f>2*(4.97+4.27)</f>
        <v>18.479999999999997</v>
      </c>
      <c r="E2140" s="1"/>
      <c r="F2140" s="5">
        <v>0.1</v>
      </c>
      <c r="G2140" s="4">
        <f t="shared" si="133"/>
        <v>1.8479999999999999</v>
      </c>
      <c r="H2140" s="1" t="s">
        <v>10</v>
      </c>
      <c r="I2140" s="46"/>
      <c r="J2140" s="31"/>
      <c r="K2140" s="31"/>
      <c r="O2140" s="5"/>
      <c r="P2140" s="4"/>
      <c r="Q2140" s="1"/>
      <c r="R2140" s="9"/>
    </row>
    <row r="2141" spans="1:18">
      <c r="A2141" s="18"/>
      <c r="B2141" s="46" t="s">
        <v>542</v>
      </c>
      <c r="C2141" s="1">
        <v>1</v>
      </c>
      <c r="D2141" s="5">
        <f>2*(2.97+4.27)</f>
        <v>14.48</v>
      </c>
      <c r="E2141" s="1"/>
      <c r="F2141" s="5">
        <v>0.1</v>
      </c>
      <c r="G2141" s="4">
        <f t="shared" si="133"/>
        <v>1.4480000000000002</v>
      </c>
      <c r="H2141" s="1" t="s">
        <v>10</v>
      </c>
      <c r="I2141" s="46"/>
      <c r="J2141" s="31"/>
      <c r="K2141" s="31"/>
      <c r="O2141" s="5"/>
      <c r="P2141" s="4"/>
      <c r="Q2141" s="1"/>
      <c r="R2141" s="9"/>
    </row>
    <row r="2142" spans="1:18">
      <c r="A2142" s="18"/>
      <c r="C2142" s="1">
        <v>1</v>
      </c>
      <c r="D2142" s="5">
        <f>(4.27+1.885)*2</f>
        <v>12.309999999999999</v>
      </c>
      <c r="E2142" s="31"/>
      <c r="F2142" s="5">
        <v>0.1</v>
      </c>
      <c r="G2142" s="4">
        <f t="shared" si="133"/>
        <v>1.2309999999999999</v>
      </c>
      <c r="H2142" s="1" t="s">
        <v>10</v>
      </c>
      <c r="I2142" s="46"/>
      <c r="J2142" s="31"/>
      <c r="K2142" s="31"/>
      <c r="O2142" s="5"/>
      <c r="P2142" s="4"/>
      <c r="Q2142" s="1"/>
      <c r="R2142" s="9"/>
    </row>
    <row r="2143" spans="1:18">
      <c r="A2143" s="18"/>
      <c r="B2143" s="46" t="s">
        <v>117</v>
      </c>
      <c r="C2143" s="1">
        <v>1</v>
      </c>
      <c r="D2143" s="5">
        <f>2*(2.685+2.145)</f>
        <v>9.66</v>
      </c>
      <c r="E2143" s="1"/>
      <c r="F2143" s="5">
        <v>0.1</v>
      </c>
      <c r="G2143" s="4">
        <f t="shared" si="133"/>
        <v>0.96600000000000008</v>
      </c>
      <c r="H2143" s="1" t="s">
        <v>10</v>
      </c>
      <c r="I2143" s="46"/>
      <c r="J2143" s="31"/>
      <c r="K2143" s="31"/>
      <c r="O2143" s="5"/>
      <c r="P2143" s="4"/>
      <c r="Q2143" s="1"/>
      <c r="R2143" s="9"/>
    </row>
    <row r="2144" spans="1:18">
      <c r="A2144" s="18"/>
      <c r="B2144" s="46"/>
      <c r="C2144" s="1">
        <v>1</v>
      </c>
      <c r="D2144" s="5">
        <f>(1.81+2.77)*2</f>
        <v>9.16</v>
      </c>
      <c r="E2144" s="1"/>
      <c r="F2144" s="5">
        <v>0.1</v>
      </c>
      <c r="G2144" s="4">
        <f t="shared" si="133"/>
        <v>0.91600000000000004</v>
      </c>
      <c r="H2144" s="1" t="s">
        <v>10</v>
      </c>
      <c r="I2144" s="46"/>
      <c r="J2144" s="31"/>
      <c r="K2144" s="31"/>
      <c r="O2144" s="5"/>
      <c r="P2144" s="4"/>
      <c r="Q2144" s="1"/>
      <c r="R2144" s="9"/>
    </row>
    <row r="2145" spans="1:18">
      <c r="A2145" s="18"/>
      <c r="B2145" s="46" t="s">
        <v>516</v>
      </c>
      <c r="C2145" s="1">
        <v>1</v>
      </c>
      <c r="D2145" s="5">
        <f>(4.27+4.895)*2</f>
        <v>18.329999999999998</v>
      </c>
      <c r="E2145" s="1"/>
      <c r="F2145" s="5">
        <v>0.1</v>
      </c>
      <c r="G2145" s="4">
        <f t="shared" si="133"/>
        <v>1.833</v>
      </c>
      <c r="H2145" s="1" t="s">
        <v>10</v>
      </c>
      <c r="I2145" s="46"/>
      <c r="J2145" s="31"/>
      <c r="K2145" s="31"/>
      <c r="O2145" s="5"/>
      <c r="P2145" s="4"/>
      <c r="Q2145" s="1"/>
      <c r="R2145" s="9"/>
    </row>
    <row r="2146" spans="1:18">
      <c r="A2146" s="18"/>
      <c r="B2146" s="46" t="s">
        <v>519</v>
      </c>
      <c r="C2146" s="1">
        <v>1</v>
      </c>
      <c r="D2146" s="5">
        <f>2*(12.17+8.77)</f>
        <v>41.879999999999995</v>
      </c>
      <c r="E2146" s="1"/>
      <c r="F2146" s="5">
        <v>0.1</v>
      </c>
      <c r="G2146" s="4">
        <f t="shared" si="133"/>
        <v>4.1879999999999997</v>
      </c>
      <c r="H2146" s="1" t="s">
        <v>10</v>
      </c>
      <c r="I2146" s="46"/>
      <c r="J2146" s="31"/>
      <c r="K2146" s="31"/>
      <c r="O2146" s="5"/>
      <c r="P2146" s="4"/>
      <c r="Q2146" s="1"/>
      <c r="R2146" s="9"/>
    </row>
    <row r="2147" spans="1:18">
      <c r="A2147" s="18"/>
      <c r="B2147" s="46" t="s">
        <v>518</v>
      </c>
      <c r="C2147" s="1">
        <v>1</v>
      </c>
      <c r="D2147" s="5">
        <f>(5.12+1.76)*2</f>
        <v>13.76</v>
      </c>
      <c r="E2147" s="1"/>
      <c r="F2147" s="5">
        <v>0.1</v>
      </c>
      <c r="G2147" s="4">
        <f t="shared" si="133"/>
        <v>1.3760000000000001</v>
      </c>
      <c r="H2147" s="1" t="s">
        <v>10</v>
      </c>
      <c r="I2147" s="46"/>
      <c r="J2147" s="31"/>
      <c r="K2147" s="31"/>
      <c r="O2147" s="5"/>
      <c r="P2147" s="4"/>
      <c r="Q2147" s="1"/>
      <c r="R2147" s="9"/>
    </row>
    <row r="2148" spans="1:18">
      <c r="A2148" s="18"/>
      <c r="B2148" s="46" t="s">
        <v>519</v>
      </c>
      <c r="C2148" s="1">
        <v>1</v>
      </c>
      <c r="D2148" s="5">
        <f>2*(12.17+8.77)</f>
        <v>41.879999999999995</v>
      </c>
      <c r="E2148" s="1"/>
      <c r="F2148" s="5">
        <v>0.1</v>
      </c>
      <c r="G2148" s="4">
        <f t="shared" si="133"/>
        <v>4.1879999999999997</v>
      </c>
      <c r="H2148" s="1" t="s">
        <v>10</v>
      </c>
      <c r="I2148" s="46"/>
      <c r="J2148" s="31"/>
      <c r="K2148" s="31"/>
      <c r="O2148" s="5"/>
      <c r="P2148" s="4"/>
      <c r="Q2148" s="1"/>
      <c r="R2148" s="9"/>
    </row>
    <row r="2149" spans="1:18">
      <c r="A2149" s="18"/>
      <c r="B2149" s="46" t="s">
        <v>466</v>
      </c>
      <c r="C2149" s="1">
        <v>1</v>
      </c>
      <c r="D2149" s="5">
        <f>2*(4.77+8.27)</f>
        <v>26.08</v>
      </c>
      <c r="E2149" s="1"/>
      <c r="F2149" s="5">
        <v>0.1</v>
      </c>
      <c r="G2149" s="4">
        <f t="shared" si="133"/>
        <v>2.6080000000000001</v>
      </c>
      <c r="H2149" s="1" t="s">
        <v>10</v>
      </c>
      <c r="I2149" s="46"/>
      <c r="J2149" s="31"/>
      <c r="K2149" s="31"/>
      <c r="O2149" s="5"/>
      <c r="P2149" s="4"/>
      <c r="Q2149" s="1"/>
      <c r="R2149" s="9"/>
    </row>
    <row r="2150" spans="1:18">
      <c r="A2150" s="18"/>
      <c r="B2150" s="46" t="s">
        <v>469</v>
      </c>
      <c r="C2150" s="1">
        <v>1</v>
      </c>
      <c r="D2150" s="5">
        <f>(4.77+3.52)</f>
        <v>8.2899999999999991</v>
      </c>
      <c r="E2150" s="1"/>
      <c r="F2150" s="5">
        <v>0.1</v>
      </c>
      <c r="G2150" s="4">
        <f t="shared" si="133"/>
        <v>0.82899999999999996</v>
      </c>
      <c r="H2150" s="1" t="s">
        <v>10</v>
      </c>
      <c r="I2150" s="46"/>
      <c r="J2150" s="31"/>
      <c r="K2150" s="31"/>
      <c r="O2150" s="5"/>
      <c r="P2150" s="4"/>
      <c r="Q2150" s="1"/>
      <c r="R2150" s="9"/>
    </row>
    <row r="2151" spans="1:18">
      <c r="A2151" s="18"/>
      <c r="B2151" s="46" t="s">
        <v>470</v>
      </c>
      <c r="C2151" s="1">
        <v>1</v>
      </c>
      <c r="D2151" s="5">
        <f>(4.77+3.52)*2</f>
        <v>16.579999999999998</v>
      </c>
      <c r="E2151" s="1"/>
      <c r="F2151" s="5">
        <v>0.1</v>
      </c>
      <c r="G2151" s="4">
        <f t="shared" si="133"/>
        <v>1.6579999999999999</v>
      </c>
      <c r="H2151" s="1" t="s">
        <v>10</v>
      </c>
      <c r="I2151" s="46"/>
      <c r="J2151" s="31"/>
      <c r="K2151" s="31"/>
      <c r="O2151" s="5"/>
      <c r="P2151" s="4"/>
      <c r="Q2151" s="1"/>
      <c r="R2151" s="9"/>
    </row>
    <row r="2152" spans="1:18">
      <c r="A2152" s="18"/>
      <c r="B2152" s="46" t="s">
        <v>521</v>
      </c>
      <c r="C2152" s="1">
        <v>1</v>
      </c>
      <c r="D2152" s="5">
        <f>(7.27+4.77)*2</f>
        <v>24.08</v>
      </c>
      <c r="E2152" s="1"/>
      <c r="F2152" s="5">
        <v>0.1</v>
      </c>
      <c r="G2152" s="4">
        <f t="shared" si="133"/>
        <v>2.4079999999999999</v>
      </c>
      <c r="H2152" s="1" t="s">
        <v>10</v>
      </c>
      <c r="I2152" s="46"/>
      <c r="J2152" s="31"/>
      <c r="K2152" s="31"/>
      <c r="O2152" s="5"/>
      <c r="P2152" s="4"/>
      <c r="Q2152" s="1"/>
      <c r="R2152" s="9"/>
    </row>
    <row r="2153" spans="1:18">
      <c r="A2153" s="18"/>
      <c r="B2153" s="46"/>
      <c r="C2153" s="1">
        <v>1</v>
      </c>
      <c r="D2153" s="5">
        <f>(5*2)</f>
        <v>10</v>
      </c>
      <c r="E2153" s="1"/>
      <c r="F2153" s="5">
        <v>0.1</v>
      </c>
      <c r="G2153" s="4">
        <f t="shared" si="133"/>
        <v>1</v>
      </c>
      <c r="H2153" s="1" t="s">
        <v>10</v>
      </c>
      <c r="I2153" s="46"/>
      <c r="J2153" s="31"/>
      <c r="K2153" s="31"/>
      <c r="O2153" s="5"/>
      <c r="P2153" s="4"/>
      <c r="Q2153" s="1"/>
      <c r="R2153" s="9"/>
    </row>
    <row r="2154" spans="1:18">
      <c r="A2154" s="18"/>
      <c r="B2154" s="46" t="s">
        <v>114</v>
      </c>
      <c r="C2154" s="1">
        <v>1</v>
      </c>
      <c r="D2154" s="5">
        <f>(2.125+2.9)*2</f>
        <v>10.050000000000001</v>
      </c>
      <c r="E2154" s="1"/>
      <c r="F2154" s="5">
        <v>0.1</v>
      </c>
      <c r="G2154" s="4">
        <f t="shared" si="133"/>
        <v>1.0050000000000001</v>
      </c>
      <c r="H2154" s="1" t="s">
        <v>10</v>
      </c>
      <c r="I2154" s="46"/>
      <c r="J2154" s="31"/>
      <c r="K2154" s="31"/>
      <c r="O2154" s="5"/>
      <c r="P2154" s="4"/>
      <c r="Q2154" s="1"/>
      <c r="R2154" s="9"/>
    </row>
    <row r="2155" spans="1:18">
      <c r="A2155" s="18"/>
      <c r="B2155" s="46" t="s">
        <v>478</v>
      </c>
      <c r="C2155" s="1">
        <v>1</v>
      </c>
      <c r="D2155" s="5">
        <f>(2.44+2.99)*2</f>
        <v>10.86</v>
      </c>
      <c r="E2155" s="1"/>
      <c r="F2155" s="5">
        <v>0.1</v>
      </c>
      <c r="G2155" s="4">
        <f t="shared" si="133"/>
        <v>1.0860000000000001</v>
      </c>
      <c r="H2155" s="1" t="s">
        <v>10</v>
      </c>
      <c r="I2155" s="46"/>
      <c r="J2155" s="31"/>
      <c r="K2155" s="31"/>
      <c r="O2155" s="5"/>
      <c r="P2155" s="4"/>
      <c r="Q2155" s="1"/>
      <c r="R2155" s="9"/>
    </row>
    <row r="2156" spans="1:18">
      <c r="A2156" s="18"/>
      <c r="B2156" s="46" t="s">
        <v>483</v>
      </c>
      <c r="C2156" s="1">
        <v>1</v>
      </c>
      <c r="D2156" s="5">
        <f>(2.215+2.515)*2</f>
        <v>9.4600000000000009</v>
      </c>
      <c r="E2156" s="1"/>
      <c r="F2156" s="5">
        <v>0.1</v>
      </c>
      <c r="G2156" s="4">
        <f t="shared" si="133"/>
        <v>0.94600000000000017</v>
      </c>
      <c r="H2156" s="1" t="s">
        <v>10</v>
      </c>
      <c r="I2156" s="46"/>
      <c r="J2156" s="31"/>
      <c r="K2156" s="31"/>
      <c r="O2156" s="5"/>
      <c r="P2156" s="4"/>
      <c r="Q2156" s="1"/>
      <c r="R2156" s="9"/>
    </row>
    <row r="2157" spans="1:18">
      <c r="A2157" s="18"/>
      <c r="B2157" s="46" t="s">
        <v>482</v>
      </c>
      <c r="C2157" s="1">
        <v>1</v>
      </c>
      <c r="D2157" s="5">
        <f>(3.345+3.01)*2</f>
        <v>12.71</v>
      </c>
      <c r="E2157" s="1"/>
      <c r="F2157" s="5">
        <v>0.1</v>
      </c>
      <c r="G2157" s="4">
        <f t="shared" si="133"/>
        <v>1.2710000000000001</v>
      </c>
      <c r="H2157" s="1" t="s">
        <v>10</v>
      </c>
      <c r="I2157" s="46"/>
      <c r="J2157" s="31"/>
      <c r="K2157" s="31"/>
      <c r="O2157" s="5"/>
      <c r="P2157" s="4"/>
      <c r="Q2157" s="1"/>
      <c r="R2157" s="9"/>
    </row>
    <row r="2158" spans="1:18">
      <c r="A2158" s="18"/>
      <c r="B2158" s="46" t="s">
        <v>543</v>
      </c>
      <c r="C2158" s="1">
        <v>1</v>
      </c>
      <c r="D2158" s="5">
        <f>4.27+4.895</f>
        <v>9.1649999999999991</v>
      </c>
      <c r="E2158" s="1"/>
      <c r="F2158" s="5">
        <v>0.1</v>
      </c>
      <c r="G2158" s="4">
        <f t="shared" si="133"/>
        <v>0.91649999999999998</v>
      </c>
      <c r="H2158" s="1" t="s">
        <v>10</v>
      </c>
      <c r="I2158" s="46"/>
      <c r="J2158" s="31"/>
      <c r="K2158" s="31"/>
      <c r="O2158" s="5"/>
      <c r="P2158" s="4"/>
      <c r="Q2158" s="1"/>
      <c r="R2158" s="9"/>
    </row>
    <row r="2159" spans="1:18">
      <c r="A2159" s="18"/>
      <c r="B2159" s="46"/>
      <c r="C2159" s="1"/>
      <c r="D2159" s="5"/>
      <c r="E2159" s="1"/>
      <c r="F2159" s="24"/>
      <c r="G2159" s="2"/>
      <c r="H2159" s="1"/>
      <c r="I2159" s="46"/>
      <c r="J2159" s="31"/>
      <c r="K2159" s="31"/>
      <c r="O2159" s="5"/>
      <c r="P2159" s="4"/>
      <c r="Q2159" s="1"/>
      <c r="R2159" s="9"/>
    </row>
    <row r="2160" spans="1:18">
      <c r="A2160" s="18"/>
      <c r="B2160" s="46"/>
      <c r="C2160" s="1"/>
      <c r="D2160" s="5"/>
      <c r="E2160" s="1"/>
      <c r="F2160" s="34" t="s">
        <v>11</v>
      </c>
      <c r="G2160" s="53">
        <f>SUM(G2137:G2159)</f>
        <v>36.941499999999998</v>
      </c>
      <c r="H2160" s="50" t="s">
        <v>17</v>
      </c>
      <c r="I2160" s="46"/>
      <c r="J2160" s="31"/>
      <c r="K2160" s="31"/>
      <c r="O2160" s="5"/>
      <c r="P2160" s="4"/>
      <c r="Q2160" s="1"/>
      <c r="R2160" s="9"/>
    </row>
    <row r="2161" spans="1:18">
      <c r="A2161" s="18"/>
      <c r="B2161" s="46"/>
      <c r="C2161" s="1"/>
      <c r="D2161" s="5"/>
      <c r="E2161" s="5"/>
      <c r="F2161" s="56" t="s">
        <v>13</v>
      </c>
      <c r="G2161" s="27">
        <f>ROUNDUP(G2160,0)</f>
        <v>37</v>
      </c>
      <c r="H2161" s="28" t="s">
        <v>17</v>
      </c>
      <c r="I2161" s="46"/>
      <c r="J2161" s="31"/>
      <c r="K2161" s="31"/>
      <c r="O2161" s="5"/>
      <c r="P2161" s="4"/>
      <c r="Q2161" s="1"/>
      <c r="R2161" s="9"/>
    </row>
    <row r="2162" spans="1:18">
      <c r="A2162" s="18"/>
      <c r="B2162" s="46"/>
      <c r="C2162" s="1"/>
      <c r="D2162" s="5"/>
      <c r="E2162" s="5"/>
      <c r="F2162" s="5"/>
      <c r="G2162" s="4"/>
      <c r="H2162" s="1"/>
      <c r="I2162" s="46"/>
      <c r="J2162" s="31"/>
      <c r="K2162" s="31"/>
      <c r="O2162" s="5"/>
      <c r="P2162" s="4"/>
      <c r="Q2162" s="1"/>
      <c r="R2162" s="9"/>
    </row>
    <row r="2163" spans="1:18">
      <c r="A2163" s="18"/>
      <c r="B2163" s="15" t="s">
        <v>445</v>
      </c>
      <c r="C2163" s="1"/>
      <c r="D2163" s="5"/>
      <c r="E2163" s="5"/>
      <c r="F2163" s="5"/>
      <c r="G2163" s="4"/>
      <c r="H2163" s="1"/>
      <c r="I2163" s="46"/>
      <c r="J2163" s="31"/>
      <c r="K2163" s="31"/>
      <c r="O2163" s="5"/>
      <c r="P2163" s="4"/>
      <c r="Q2163" s="1"/>
      <c r="R2163" s="9"/>
    </row>
    <row r="2164" spans="1:18">
      <c r="A2164" s="18"/>
      <c r="B2164" s="46" t="s">
        <v>524</v>
      </c>
      <c r="C2164" s="1">
        <v>1</v>
      </c>
      <c r="D2164" s="5">
        <f>6.565+5.775+5.775</f>
        <v>18.115000000000002</v>
      </c>
      <c r="E2164" s="5"/>
      <c r="F2164" s="5">
        <v>0.1</v>
      </c>
      <c r="G2164" s="4">
        <f>C2164*D2164*F2164</f>
        <v>1.8115000000000003</v>
      </c>
      <c r="H2164" s="1" t="s">
        <v>17</v>
      </c>
      <c r="J2164" s="31"/>
      <c r="K2164" s="31"/>
      <c r="O2164" s="5"/>
      <c r="P2164" s="4"/>
      <c r="Q2164" s="1"/>
      <c r="R2164" s="9"/>
    </row>
    <row r="2165" spans="1:18">
      <c r="A2165" s="18"/>
      <c r="B2165" s="46" t="s">
        <v>525</v>
      </c>
      <c r="C2165" s="1">
        <v>1</v>
      </c>
      <c r="D2165" s="5">
        <f>3.62+1.24+2.655</f>
        <v>7.5150000000000006</v>
      </c>
      <c r="E2165" s="5"/>
      <c r="F2165" s="5">
        <v>0.1</v>
      </c>
      <c r="G2165" s="4">
        <f t="shared" ref="G2165:G2181" si="134">C2165*D2165*F2165</f>
        <v>0.75150000000000006</v>
      </c>
      <c r="H2165" s="1" t="s">
        <v>10</v>
      </c>
      <c r="I2165" s="46"/>
      <c r="J2165" s="31"/>
      <c r="K2165" s="31"/>
      <c r="O2165" s="5"/>
      <c r="P2165" s="4"/>
      <c r="Q2165" s="1"/>
      <c r="R2165" s="9"/>
    </row>
    <row r="2166" spans="1:18">
      <c r="A2166" s="18"/>
      <c r="B2166" s="46" t="s">
        <v>527</v>
      </c>
      <c r="C2166" s="1">
        <v>1</v>
      </c>
      <c r="D2166" s="5">
        <f>(4.27+22.035)*2</f>
        <v>52.61</v>
      </c>
      <c r="E2166" s="5"/>
      <c r="F2166" s="5">
        <v>0.1</v>
      </c>
      <c r="G2166" s="4">
        <f t="shared" si="134"/>
        <v>5.2610000000000001</v>
      </c>
      <c r="H2166" s="1" t="s">
        <v>10</v>
      </c>
      <c r="J2166" s="31"/>
      <c r="K2166" s="31"/>
      <c r="O2166" s="5"/>
      <c r="P2166" s="4"/>
      <c r="Q2166" s="1"/>
      <c r="R2166" s="9"/>
    </row>
    <row r="2167" spans="1:18">
      <c r="A2167" s="18"/>
      <c r="B2167" s="46"/>
      <c r="C2167" s="1">
        <v>1</v>
      </c>
      <c r="D2167" s="5">
        <f>5.705+4.895+5.705</f>
        <v>16.305</v>
      </c>
      <c r="E2167" s="5"/>
      <c r="F2167" s="5">
        <v>0.1</v>
      </c>
      <c r="G2167" s="4">
        <f t="shared" si="134"/>
        <v>1.6305000000000001</v>
      </c>
      <c r="H2167" s="1" t="s">
        <v>10</v>
      </c>
      <c r="I2167" s="46"/>
      <c r="J2167" s="31"/>
      <c r="K2167" s="31"/>
      <c r="O2167" s="5"/>
      <c r="P2167" s="4"/>
      <c r="Q2167" s="1"/>
      <c r="R2167" s="9"/>
    </row>
    <row r="2168" spans="1:18">
      <c r="A2168" s="18"/>
      <c r="B2168" s="46" t="s">
        <v>494</v>
      </c>
      <c r="C2168" s="1">
        <v>1</v>
      </c>
      <c r="D2168" s="5">
        <f>(3.43+5.59)*2</f>
        <v>18.04</v>
      </c>
      <c r="E2168" s="5"/>
      <c r="F2168" s="5">
        <v>0.1</v>
      </c>
      <c r="G2168" s="4">
        <f t="shared" si="134"/>
        <v>1.804</v>
      </c>
      <c r="H2168" s="1" t="s">
        <v>10</v>
      </c>
      <c r="I2168" s="46"/>
      <c r="J2168" s="31"/>
      <c r="K2168" s="31"/>
      <c r="O2168" s="5"/>
      <c r="P2168" s="4"/>
      <c r="Q2168" s="1"/>
      <c r="R2168" s="9"/>
    </row>
    <row r="2169" spans="1:18">
      <c r="A2169" s="18"/>
      <c r="B2169" s="46" t="s">
        <v>495</v>
      </c>
      <c r="C2169" s="1">
        <v>1</v>
      </c>
      <c r="D2169" s="5">
        <f>(2.815+1.605)*2</f>
        <v>8.84</v>
      </c>
      <c r="E2169" s="5"/>
      <c r="F2169" s="5">
        <v>0.1</v>
      </c>
      <c r="G2169" s="4">
        <f t="shared" si="134"/>
        <v>0.88400000000000001</v>
      </c>
      <c r="H2169" s="1" t="s">
        <v>10</v>
      </c>
      <c r="J2169" s="31"/>
      <c r="K2169" s="31"/>
      <c r="O2169" s="5"/>
      <c r="P2169" s="4"/>
      <c r="Q2169" s="1"/>
      <c r="R2169" s="9"/>
    </row>
    <row r="2170" spans="1:18">
      <c r="A2170" s="18"/>
      <c r="B2170" s="46" t="s">
        <v>478</v>
      </c>
      <c r="C2170" s="1">
        <v>1</v>
      </c>
      <c r="D2170" s="5">
        <f>(1.35+1.455)*2</f>
        <v>5.61</v>
      </c>
      <c r="E2170" s="5"/>
      <c r="F2170" s="5">
        <v>0.1</v>
      </c>
      <c r="G2170" s="4">
        <f t="shared" si="134"/>
        <v>0.56100000000000005</v>
      </c>
      <c r="H2170" s="1" t="s">
        <v>10</v>
      </c>
      <c r="I2170" s="46"/>
      <c r="J2170" s="31"/>
      <c r="K2170" s="31"/>
      <c r="O2170" s="5"/>
      <c r="P2170" s="4"/>
      <c r="Q2170" s="1"/>
      <c r="R2170" s="9"/>
    </row>
    <row r="2171" spans="1:18">
      <c r="A2171" s="18"/>
      <c r="B2171" s="46" t="s">
        <v>498</v>
      </c>
      <c r="C2171" s="1">
        <v>1</v>
      </c>
      <c r="D2171" s="5">
        <f>(2.42+4.615)*2</f>
        <v>14.07</v>
      </c>
      <c r="E2171" s="5"/>
      <c r="F2171" s="5">
        <v>0.1</v>
      </c>
      <c r="G2171" s="4">
        <f t="shared" si="134"/>
        <v>1.407</v>
      </c>
      <c r="H2171" s="1" t="s">
        <v>10</v>
      </c>
      <c r="I2171" s="46"/>
      <c r="J2171" s="31"/>
      <c r="K2171" s="31"/>
      <c r="O2171" s="5"/>
      <c r="P2171" s="4"/>
      <c r="Q2171" s="1"/>
      <c r="R2171" s="9"/>
    </row>
    <row r="2172" spans="1:18">
      <c r="A2172" s="18"/>
      <c r="B2172" s="46" t="s">
        <v>500</v>
      </c>
      <c r="C2172" s="1">
        <v>1</v>
      </c>
      <c r="D2172" s="5">
        <f>(4.885+7.61)*2</f>
        <v>24.990000000000002</v>
      </c>
      <c r="E2172" s="5"/>
      <c r="F2172" s="5">
        <v>0.1</v>
      </c>
      <c r="G2172" s="4">
        <f t="shared" si="134"/>
        <v>2.4990000000000006</v>
      </c>
      <c r="H2172" s="1" t="s">
        <v>10</v>
      </c>
      <c r="I2172" s="46"/>
      <c r="J2172" s="31"/>
      <c r="K2172" s="31"/>
      <c r="O2172" s="5"/>
      <c r="P2172" s="4"/>
      <c r="Q2172" s="1"/>
      <c r="R2172" s="9"/>
    </row>
    <row r="2173" spans="1:18">
      <c r="A2173" s="18"/>
      <c r="B2173" s="46"/>
      <c r="C2173" s="1">
        <v>1</v>
      </c>
      <c r="D2173" s="5">
        <f>(4.885+2.25)*2</f>
        <v>14.27</v>
      </c>
      <c r="E2173" s="5"/>
      <c r="F2173" s="5">
        <v>0.1</v>
      </c>
      <c r="G2173" s="4">
        <f t="shared" si="134"/>
        <v>1.427</v>
      </c>
      <c r="H2173" s="1" t="s">
        <v>10</v>
      </c>
      <c r="J2173" s="31"/>
      <c r="K2173" s="31"/>
      <c r="O2173" s="5"/>
      <c r="P2173" s="4"/>
      <c r="Q2173" s="1"/>
      <c r="R2173" s="9"/>
    </row>
    <row r="2174" spans="1:18">
      <c r="A2174" s="18"/>
      <c r="B2174" s="46" t="s">
        <v>136</v>
      </c>
      <c r="C2174" s="1">
        <v>1</v>
      </c>
      <c r="D2174" s="5">
        <f>(4.77+4.63)*2</f>
        <v>18.799999999999997</v>
      </c>
      <c r="F2174" s="5">
        <v>0.1</v>
      </c>
      <c r="G2174" s="4">
        <f t="shared" si="134"/>
        <v>1.88</v>
      </c>
      <c r="H2174" s="1" t="s">
        <v>10</v>
      </c>
      <c r="J2174" s="31"/>
      <c r="K2174" s="31"/>
      <c r="O2174" s="5"/>
      <c r="P2174" s="4"/>
      <c r="Q2174" s="1"/>
      <c r="R2174" s="9"/>
    </row>
    <row r="2175" spans="1:18">
      <c r="A2175" s="18"/>
      <c r="B2175" s="46" t="s">
        <v>501</v>
      </c>
      <c r="C2175" s="1">
        <v>1</v>
      </c>
      <c r="D2175" s="5">
        <f>(3.155+5.23)*2</f>
        <v>16.77</v>
      </c>
      <c r="E2175" s="5"/>
      <c r="F2175" s="5">
        <v>0.1</v>
      </c>
      <c r="G2175" s="4">
        <f t="shared" si="134"/>
        <v>1.677</v>
      </c>
      <c r="H2175" s="1" t="s">
        <v>10</v>
      </c>
      <c r="I2175" s="46"/>
      <c r="J2175" s="31"/>
      <c r="K2175" s="31"/>
      <c r="O2175" s="5"/>
      <c r="P2175" s="4"/>
      <c r="Q2175" s="1"/>
      <c r="R2175" s="9"/>
    </row>
    <row r="2176" spans="1:18">
      <c r="A2176" s="18"/>
      <c r="B2176" s="46" t="s">
        <v>503</v>
      </c>
      <c r="C2176" s="1">
        <v>1</v>
      </c>
      <c r="D2176" s="5">
        <f>(4.885+4.215)*2</f>
        <v>18.2</v>
      </c>
      <c r="E2176" s="5"/>
      <c r="F2176" s="5">
        <v>0.1</v>
      </c>
      <c r="G2176" s="4">
        <f t="shared" si="134"/>
        <v>1.82</v>
      </c>
      <c r="H2176" s="1" t="s">
        <v>10</v>
      </c>
      <c r="I2176" s="46"/>
      <c r="J2176" s="31"/>
      <c r="K2176" s="31"/>
      <c r="O2176" s="5"/>
      <c r="P2176" s="4"/>
      <c r="Q2176" s="1"/>
      <c r="R2176" s="9"/>
    </row>
    <row r="2177" spans="1:18">
      <c r="A2177" s="18"/>
      <c r="B2177" s="46"/>
      <c r="C2177" s="1">
        <v>1</v>
      </c>
      <c r="D2177" s="5">
        <f>(2.29+2.515)*2</f>
        <v>9.61</v>
      </c>
      <c r="E2177" s="5"/>
      <c r="F2177" s="5">
        <v>0.1</v>
      </c>
      <c r="G2177" s="4">
        <f t="shared" si="134"/>
        <v>0.96099999999999997</v>
      </c>
      <c r="H2177" s="1" t="s">
        <v>10</v>
      </c>
      <c r="J2177" s="31"/>
      <c r="K2177" s="31"/>
      <c r="O2177" s="5"/>
      <c r="P2177" s="4"/>
      <c r="Q2177" s="1"/>
      <c r="R2177" s="9"/>
    </row>
    <row r="2178" spans="1:18">
      <c r="A2178" s="18"/>
      <c r="B2178" s="46" t="s">
        <v>509</v>
      </c>
      <c r="C2178" s="1">
        <v>1</v>
      </c>
      <c r="D2178" s="5">
        <f>(7.855+4.885)*2</f>
        <v>25.48</v>
      </c>
      <c r="E2178" s="5"/>
      <c r="F2178" s="5">
        <v>0.1</v>
      </c>
      <c r="G2178" s="4">
        <f t="shared" si="134"/>
        <v>2.548</v>
      </c>
      <c r="H2178" s="1" t="s">
        <v>10</v>
      </c>
      <c r="J2178" s="31"/>
      <c r="K2178" s="31"/>
      <c r="O2178" s="5"/>
      <c r="P2178" s="4"/>
      <c r="Q2178" s="1"/>
      <c r="R2178" s="9"/>
    </row>
    <row r="2179" spans="1:18">
      <c r="A2179" s="18"/>
      <c r="B2179" s="46"/>
      <c r="C2179" s="1">
        <v>1</v>
      </c>
      <c r="D2179" s="5">
        <f>1.8+5+5</f>
        <v>11.8</v>
      </c>
      <c r="E2179" s="5"/>
      <c r="F2179" s="5">
        <v>0.1</v>
      </c>
      <c r="G2179" s="4">
        <f t="shared" si="134"/>
        <v>1.1800000000000002</v>
      </c>
      <c r="H2179" s="1" t="s">
        <v>10</v>
      </c>
      <c r="J2179" s="31"/>
      <c r="K2179" s="31"/>
      <c r="O2179" s="5"/>
      <c r="P2179" s="4"/>
      <c r="Q2179" s="1"/>
      <c r="R2179" s="9"/>
    </row>
    <row r="2180" spans="1:18">
      <c r="A2180" s="18"/>
      <c r="B2180" s="46" t="s">
        <v>530</v>
      </c>
      <c r="C2180" s="1">
        <v>1</v>
      </c>
      <c r="D2180" s="5">
        <f>(2.328+1.5)*2</f>
        <v>7.6559999999999997</v>
      </c>
      <c r="E2180" s="5"/>
      <c r="F2180" s="5">
        <v>0.1</v>
      </c>
      <c r="G2180" s="4">
        <f t="shared" si="134"/>
        <v>0.76560000000000006</v>
      </c>
      <c r="H2180" s="1" t="s">
        <v>10</v>
      </c>
      <c r="J2180" s="31"/>
      <c r="K2180" s="31"/>
      <c r="O2180" s="5"/>
      <c r="P2180" s="4"/>
      <c r="Q2180" s="1"/>
      <c r="R2180" s="9"/>
    </row>
    <row r="2181" spans="1:18">
      <c r="A2181" s="18"/>
      <c r="B2181" s="46" t="s">
        <v>531</v>
      </c>
      <c r="C2181" s="1">
        <v>1</v>
      </c>
      <c r="D2181" s="5">
        <f>(2.328+1.5)*2</f>
        <v>7.6559999999999997</v>
      </c>
      <c r="E2181" s="5"/>
      <c r="F2181" s="5">
        <v>0.1</v>
      </c>
      <c r="G2181" s="4">
        <f t="shared" si="134"/>
        <v>0.76560000000000006</v>
      </c>
      <c r="H2181" s="1" t="s">
        <v>10</v>
      </c>
      <c r="J2181" s="31"/>
      <c r="K2181" s="31"/>
      <c r="O2181" s="5"/>
      <c r="P2181" s="4"/>
      <c r="Q2181" s="1"/>
      <c r="R2181" s="9"/>
    </row>
    <row r="2182" spans="1:18">
      <c r="A2182" s="18"/>
      <c r="B2182" s="46"/>
      <c r="C2182" s="1"/>
      <c r="D2182" s="5"/>
      <c r="E2182" s="5"/>
      <c r="F2182" s="5"/>
      <c r="G2182" s="4"/>
      <c r="H2182" s="1"/>
      <c r="J2182" s="31"/>
      <c r="K2182" s="31"/>
      <c r="O2182" s="5"/>
      <c r="P2182" s="4"/>
      <c r="Q2182" s="1"/>
      <c r="R2182" s="9"/>
    </row>
    <row r="2183" spans="1:18">
      <c r="A2183" s="18"/>
      <c r="B2183" s="46"/>
      <c r="C2183" s="1"/>
      <c r="D2183" s="5"/>
      <c r="E2183" s="5"/>
      <c r="F2183" s="34" t="s">
        <v>11</v>
      </c>
      <c r="G2183" s="53">
        <f>SUM(G2164:G2182)</f>
        <v>29.633699999999997</v>
      </c>
      <c r="H2183" s="50" t="s">
        <v>17</v>
      </c>
      <c r="I2183" s="46"/>
      <c r="J2183" s="31"/>
      <c r="K2183" s="31"/>
      <c r="O2183" s="5"/>
      <c r="P2183" s="4"/>
      <c r="Q2183" s="1"/>
      <c r="R2183" s="9"/>
    </row>
    <row r="2184" spans="1:18">
      <c r="A2184" s="18"/>
      <c r="B2184" s="46"/>
      <c r="C2184" s="1"/>
      <c r="D2184" s="5"/>
      <c r="E2184" s="5"/>
      <c r="F2184" s="56" t="s">
        <v>13</v>
      </c>
      <c r="G2184" s="27">
        <f>ROUNDUP(G2183,0)</f>
        <v>30</v>
      </c>
      <c r="H2184" s="28" t="s">
        <v>17</v>
      </c>
      <c r="I2184" s="46"/>
      <c r="J2184" s="31"/>
      <c r="K2184" s="31"/>
      <c r="O2184" s="5"/>
      <c r="P2184" s="4"/>
      <c r="Q2184" s="1"/>
      <c r="R2184" s="9"/>
    </row>
    <row r="2185" spans="1:18">
      <c r="A2185" s="18"/>
      <c r="B2185" s="46"/>
      <c r="C2185" s="1"/>
      <c r="D2185" s="5"/>
      <c r="E2185" s="5"/>
      <c r="F2185" s="1"/>
      <c r="G2185" s="33"/>
      <c r="H2185" s="24"/>
      <c r="I2185" s="46"/>
      <c r="J2185" s="31"/>
      <c r="K2185" s="31"/>
      <c r="O2185" s="5"/>
      <c r="P2185" s="4"/>
      <c r="Q2185" s="1"/>
      <c r="R2185" s="9"/>
    </row>
    <row r="2186" spans="1:18">
      <c r="A2186" s="18"/>
      <c r="B2186" s="15" t="s">
        <v>57</v>
      </c>
      <c r="C2186" s="1"/>
      <c r="D2186" s="5"/>
      <c r="E2186" s="5"/>
      <c r="F2186" s="1"/>
      <c r="G2186" s="4"/>
      <c r="H2186" s="1"/>
      <c r="I2186" s="9"/>
      <c r="J2186" s="31"/>
      <c r="K2186" s="31"/>
      <c r="O2186" s="5"/>
      <c r="P2186" s="4"/>
      <c r="Q2186" s="1"/>
      <c r="R2186" s="9"/>
    </row>
    <row r="2187" spans="1:18">
      <c r="A2187" s="18"/>
      <c r="B2187" s="46" t="s">
        <v>501</v>
      </c>
      <c r="C2187" s="1">
        <v>1</v>
      </c>
      <c r="D2187" s="5">
        <f>(3.155+5.23)*2</f>
        <v>16.77</v>
      </c>
      <c r="E2187" s="5"/>
      <c r="F2187" s="5">
        <v>0.1</v>
      </c>
      <c r="G2187" s="4">
        <f>C2187*D2187*F2187</f>
        <v>1.677</v>
      </c>
      <c r="H2187" s="1" t="s">
        <v>17</v>
      </c>
      <c r="I2187" s="46"/>
      <c r="J2187" s="31"/>
      <c r="K2187" s="31"/>
      <c r="O2187" s="5"/>
      <c r="P2187" s="4"/>
      <c r="Q2187" s="1"/>
      <c r="R2187" s="9"/>
    </row>
    <row r="2188" spans="1:18">
      <c r="A2188" s="18"/>
      <c r="B2188" s="46" t="s">
        <v>503</v>
      </c>
      <c r="C2188" s="1">
        <v>1</v>
      </c>
      <c r="D2188" s="5">
        <f>(4.885+4.215)*2</f>
        <v>18.2</v>
      </c>
      <c r="E2188" s="5"/>
      <c r="F2188" s="5">
        <v>0.1</v>
      </c>
      <c r="G2188" s="4">
        <f t="shared" ref="G2188:G2193" si="135">C2188*D2188*F2188</f>
        <v>1.82</v>
      </c>
      <c r="H2188" s="1" t="s">
        <v>10</v>
      </c>
      <c r="I2188" s="46"/>
      <c r="J2188" s="31"/>
      <c r="K2188" s="31"/>
      <c r="O2188" s="5"/>
      <c r="P2188" s="4"/>
      <c r="Q2188" s="1"/>
      <c r="R2188" s="9"/>
    </row>
    <row r="2189" spans="1:18">
      <c r="A2189" s="18"/>
      <c r="B2189" s="15"/>
      <c r="C2189" s="1">
        <v>1</v>
      </c>
      <c r="D2189" s="5">
        <f>(2.29+2.515)*2</f>
        <v>9.61</v>
      </c>
      <c r="E2189" s="5"/>
      <c r="F2189" s="5">
        <v>0.1</v>
      </c>
      <c r="G2189" s="4">
        <f t="shared" si="135"/>
        <v>0.96099999999999997</v>
      </c>
      <c r="H2189" s="1" t="s">
        <v>10</v>
      </c>
      <c r="I2189" s="46"/>
      <c r="J2189" s="31"/>
      <c r="K2189" s="31"/>
      <c r="O2189" s="5"/>
      <c r="P2189" s="4"/>
      <c r="Q2189" s="1"/>
      <c r="R2189" s="9"/>
    </row>
    <row r="2190" spans="1:18">
      <c r="A2190" s="18"/>
      <c r="B2190" s="46" t="s">
        <v>136</v>
      </c>
      <c r="C2190" s="1">
        <v>1</v>
      </c>
      <c r="D2190" s="5">
        <f>(4.77+4.63)*2</f>
        <v>18.799999999999997</v>
      </c>
      <c r="E2190" s="1"/>
      <c r="F2190" s="5">
        <v>0.1</v>
      </c>
      <c r="G2190" s="4">
        <f t="shared" si="135"/>
        <v>1.88</v>
      </c>
      <c r="H2190" s="1" t="s">
        <v>10</v>
      </c>
      <c r="J2190" s="31"/>
      <c r="K2190" s="31"/>
      <c r="O2190" s="5"/>
      <c r="P2190" s="4"/>
      <c r="Q2190" s="1"/>
      <c r="R2190" s="9"/>
    </row>
    <row r="2191" spans="1:18">
      <c r="A2191" s="18"/>
      <c r="B2191" s="46" t="s">
        <v>509</v>
      </c>
      <c r="C2191" s="1">
        <v>1</v>
      </c>
      <c r="D2191" s="5">
        <f>(7.855+4.855)*2</f>
        <v>25.42</v>
      </c>
      <c r="E2191" s="1"/>
      <c r="F2191" s="5">
        <v>0.1</v>
      </c>
      <c r="G2191" s="4">
        <f t="shared" si="135"/>
        <v>2.5420000000000003</v>
      </c>
      <c r="H2191" s="1" t="s">
        <v>10</v>
      </c>
      <c r="I2191" s="46"/>
      <c r="J2191" s="31"/>
      <c r="K2191" s="31"/>
      <c r="O2191" s="5"/>
      <c r="P2191" s="4"/>
      <c r="Q2191" s="1"/>
      <c r="R2191" s="9"/>
    </row>
    <row r="2192" spans="1:18">
      <c r="A2192" s="18"/>
      <c r="B2192" s="15"/>
      <c r="C2192" s="1">
        <v>1</v>
      </c>
      <c r="D2192" s="5">
        <f>(4.885*7.855)</f>
        <v>38.371675000000003</v>
      </c>
      <c r="E2192" s="5"/>
      <c r="F2192" s="5">
        <v>0.1</v>
      </c>
      <c r="G2192" s="4">
        <f t="shared" si="135"/>
        <v>3.8371675000000005</v>
      </c>
      <c r="H2192" s="1" t="s">
        <v>10</v>
      </c>
      <c r="I2192" s="46"/>
      <c r="J2192" s="31"/>
      <c r="K2192" s="31"/>
      <c r="O2192" s="5"/>
      <c r="P2192" s="4"/>
      <c r="Q2192" s="1"/>
      <c r="R2192" s="9"/>
    </row>
    <row r="2193" spans="1:18">
      <c r="A2193" s="18"/>
      <c r="B2193" s="15"/>
      <c r="C2193" s="1">
        <v>1</v>
      </c>
      <c r="D2193" s="5">
        <f>(4.77+1.8)*2</f>
        <v>13.139999999999999</v>
      </c>
      <c r="E2193" s="5"/>
      <c r="F2193" s="5">
        <v>0.1</v>
      </c>
      <c r="G2193" s="4">
        <f t="shared" si="135"/>
        <v>1.3140000000000001</v>
      </c>
      <c r="H2193" s="1" t="s">
        <v>10</v>
      </c>
      <c r="I2193" s="46"/>
      <c r="J2193" s="31"/>
      <c r="K2193" s="31"/>
      <c r="O2193" s="5"/>
      <c r="P2193" s="4"/>
      <c r="Q2193" s="1"/>
      <c r="R2193" s="9"/>
    </row>
    <row r="2194" spans="1:18">
      <c r="A2194" s="18"/>
      <c r="B2194" s="15"/>
      <c r="C2194" s="1"/>
      <c r="D2194" s="5"/>
      <c r="E2194" s="5"/>
      <c r="F2194" s="1"/>
      <c r="G2194" s="4"/>
      <c r="H2194" s="1"/>
      <c r="I2194" s="46"/>
      <c r="J2194" s="31"/>
      <c r="K2194" s="31"/>
      <c r="O2194" s="5"/>
      <c r="P2194" s="4"/>
      <c r="Q2194" s="1"/>
      <c r="R2194" s="9"/>
    </row>
    <row r="2195" spans="1:18">
      <c r="A2195" s="18"/>
      <c r="B2195" s="46"/>
      <c r="C2195" s="1"/>
      <c r="D2195" s="5"/>
      <c r="E2195" s="5"/>
      <c r="F2195" s="34" t="s">
        <v>11</v>
      </c>
      <c r="G2195" s="53">
        <f>SUM(G2187:G2194)</f>
        <v>14.031167500000002</v>
      </c>
      <c r="H2195" s="50" t="s">
        <v>17</v>
      </c>
      <c r="I2195" s="9"/>
      <c r="J2195" s="31"/>
      <c r="K2195" s="31"/>
      <c r="O2195" s="5"/>
      <c r="P2195" s="4"/>
      <c r="Q2195" s="1"/>
      <c r="R2195" s="9"/>
    </row>
    <row r="2196" spans="1:18">
      <c r="A2196" s="18"/>
      <c r="B2196" s="46"/>
      <c r="C2196" s="1"/>
      <c r="D2196" s="5"/>
      <c r="E2196" s="5"/>
      <c r="F2196" s="56" t="s">
        <v>13</v>
      </c>
      <c r="G2196" s="27">
        <f>ROUNDUP(G2195,0)</f>
        <v>15</v>
      </c>
      <c r="H2196" s="28" t="s">
        <v>17</v>
      </c>
      <c r="I2196" s="9"/>
      <c r="J2196" s="31"/>
      <c r="K2196" s="31"/>
      <c r="O2196" s="5"/>
      <c r="P2196" s="4"/>
      <c r="Q2196" s="1"/>
      <c r="R2196" s="9"/>
    </row>
    <row r="2197" spans="1:18">
      <c r="A2197" s="18">
        <f>A2136+1</f>
        <v>61</v>
      </c>
      <c r="B2197" s="9" t="s">
        <v>74</v>
      </c>
      <c r="C2197" s="1"/>
      <c r="D2197" s="1"/>
      <c r="E2197" s="1"/>
      <c r="F2197" s="1"/>
      <c r="G2197" s="33"/>
      <c r="H2197" s="24"/>
      <c r="I2197" s="9"/>
      <c r="J2197" s="31"/>
      <c r="K2197" s="31"/>
      <c r="O2197" s="5"/>
      <c r="P2197" s="4"/>
      <c r="Q2197" s="1" t="s">
        <v>10</v>
      </c>
      <c r="R2197" s="9"/>
    </row>
    <row r="2198" spans="1:18">
      <c r="A2198" s="18"/>
      <c r="B2198" s="15" t="s">
        <v>56</v>
      </c>
      <c r="C2198" s="1"/>
      <c r="D2198" s="5"/>
      <c r="E2198" s="5"/>
      <c r="F2198" s="1"/>
      <c r="G2198" s="33"/>
      <c r="H2198" s="24"/>
      <c r="I2198" s="9"/>
      <c r="J2198" s="31"/>
      <c r="K2198" s="31"/>
      <c r="O2198" s="5"/>
      <c r="P2198" s="4"/>
      <c r="Q2198" s="1" t="s">
        <v>10</v>
      </c>
      <c r="R2198" s="9"/>
    </row>
    <row r="2199" spans="1:18">
      <c r="A2199" s="18"/>
      <c r="B2199" s="46" t="s">
        <v>465</v>
      </c>
      <c r="C2199" s="1">
        <v>1</v>
      </c>
      <c r="D2199" s="5">
        <f>(25.77+4.695+4.695)</f>
        <v>35.159999999999997</v>
      </c>
      <c r="E2199" s="1"/>
      <c r="F2199" s="5">
        <v>2.1</v>
      </c>
      <c r="G2199" s="4">
        <f>C2199*D2199*F2199</f>
        <v>73.835999999999999</v>
      </c>
      <c r="H2199" s="1" t="s">
        <v>17</v>
      </c>
      <c r="I2199" s="46"/>
      <c r="J2199" s="1"/>
      <c r="K2199" s="5"/>
      <c r="L2199" s="1"/>
      <c r="M2199" s="5"/>
      <c r="N2199" s="4"/>
      <c r="O2199" s="1"/>
      <c r="P2199" s="4"/>
      <c r="Q2199" s="1" t="s">
        <v>10</v>
      </c>
      <c r="R2199" s="9"/>
    </row>
    <row r="2200" spans="1:18">
      <c r="A2200" s="18"/>
      <c r="B2200" s="46"/>
      <c r="C2200" s="1">
        <v>1</v>
      </c>
      <c r="D2200" s="5">
        <v>25.77</v>
      </c>
      <c r="E2200" s="1"/>
      <c r="F2200" s="5">
        <v>1.35</v>
      </c>
      <c r="G2200" s="4">
        <f t="shared" ref="G2200:G2206" si="136">C2200*D2200*F2200</f>
        <v>34.789500000000004</v>
      </c>
      <c r="H2200" s="1" t="s">
        <v>10</v>
      </c>
      <c r="I2200" s="46"/>
      <c r="J2200" s="1"/>
      <c r="K2200" s="5"/>
      <c r="L2200" s="1"/>
      <c r="M2200" s="5"/>
      <c r="N2200" s="4"/>
      <c r="O2200" s="1"/>
      <c r="P2200" s="4"/>
      <c r="Q2200" s="1"/>
      <c r="R2200" s="9"/>
    </row>
    <row r="2201" spans="1:18">
      <c r="A2201" s="18"/>
      <c r="B2201" s="46" t="s">
        <v>464</v>
      </c>
      <c r="C2201" s="1">
        <v>1</v>
      </c>
      <c r="D2201" s="5">
        <f>25.925+5.075</f>
        <v>31</v>
      </c>
      <c r="E2201" s="1"/>
      <c r="F2201" s="5">
        <v>2.1</v>
      </c>
      <c r="G2201" s="4">
        <f t="shared" si="136"/>
        <v>65.100000000000009</v>
      </c>
      <c r="H2201" s="1" t="s">
        <v>10</v>
      </c>
      <c r="I2201" s="46"/>
      <c r="J2201" s="1"/>
      <c r="K2201" s="5"/>
      <c r="L2201" s="1"/>
      <c r="M2201" s="5"/>
      <c r="N2201" s="4"/>
      <c r="O2201" s="1"/>
      <c r="P2201" s="4"/>
      <c r="Q2201" s="1"/>
      <c r="R2201" s="9"/>
    </row>
    <row r="2202" spans="1:18">
      <c r="A2202" s="18"/>
      <c r="B2202" s="46" t="s">
        <v>540</v>
      </c>
      <c r="C2202" s="1">
        <v>1</v>
      </c>
      <c r="D2202" s="5">
        <f>2.575+2.575+4.77</f>
        <v>9.92</v>
      </c>
      <c r="E2202" s="1"/>
      <c r="F2202" s="5">
        <v>2.1</v>
      </c>
      <c r="G2202" s="4">
        <f t="shared" si="136"/>
        <v>20.832000000000001</v>
      </c>
      <c r="H2202" s="1" t="s">
        <v>10</v>
      </c>
      <c r="I2202" s="46"/>
      <c r="J2202" s="1"/>
      <c r="K2202" s="5"/>
      <c r="L2202" s="1"/>
      <c r="M2202" s="5"/>
      <c r="N2202" s="4"/>
      <c r="O2202" s="1"/>
      <c r="P2202" s="4"/>
      <c r="Q2202" s="1"/>
      <c r="R2202" s="9"/>
    </row>
    <row r="2203" spans="1:18">
      <c r="A2203" s="18"/>
      <c r="B2203" s="46" t="s">
        <v>475</v>
      </c>
      <c r="C2203" s="1">
        <v>1</v>
      </c>
      <c r="D2203" s="5">
        <f>2.77+2.575+2.77</f>
        <v>8.1150000000000002</v>
      </c>
      <c r="E2203" s="1"/>
      <c r="F2203" s="5">
        <v>2.1</v>
      </c>
      <c r="G2203" s="4">
        <f t="shared" si="136"/>
        <v>17.041500000000003</v>
      </c>
      <c r="H2203" s="1" t="s">
        <v>10</v>
      </c>
      <c r="I2203" s="46"/>
      <c r="J2203" s="1"/>
      <c r="K2203" s="5"/>
      <c r="L2203" s="1"/>
      <c r="M2203" s="5"/>
      <c r="N2203" s="4"/>
      <c r="O2203" s="1"/>
      <c r="P2203" s="4"/>
      <c r="Q2203" s="1" t="s">
        <v>10</v>
      </c>
      <c r="R2203" s="9"/>
    </row>
    <row r="2204" spans="1:18">
      <c r="A2204" s="18"/>
      <c r="B2204" s="46" t="s">
        <v>467</v>
      </c>
      <c r="C2204" s="1">
        <v>1</v>
      </c>
      <c r="D2204" s="5">
        <f>4.695+8.27+5</f>
        <v>17.965</v>
      </c>
      <c r="E2204" s="1"/>
      <c r="F2204" s="5">
        <v>2.1</v>
      </c>
      <c r="G2204" s="4">
        <f t="shared" si="136"/>
        <v>37.726500000000001</v>
      </c>
      <c r="H2204" s="1" t="s">
        <v>10</v>
      </c>
      <c r="I2204" s="46"/>
      <c r="J2204" s="1"/>
      <c r="K2204" s="5"/>
      <c r="L2204" s="1"/>
      <c r="M2204" s="5"/>
      <c r="N2204" s="4"/>
      <c r="O2204" s="1"/>
      <c r="P2204" s="4"/>
      <c r="Q2204" s="1"/>
      <c r="R2204" s="9"/>
    </row>
    <row r="2205" spans="1:18">
      <c r="A2205" s="18"/>
      <c r="B2205" s="46" t="s">
        <v>536</v>
      </c>
      <c r="C2205" s="1">
        <v>1</v>
      </c>
      <c r="D2205" s="5">
        <f>5+1.2</f>
        <v>6.2</v>
      </c>
      <c r="E2205" s="1"/>
      <c r="F2205" s="5">
        <v>1.2</v>
      </c>
      <c r="G2205" s="4">
        <f t="shared" si="136"/>
        <v>7.4399999999999995</v>
      </c>
      <c r="H2205" s="1" t="s">
        <v>10</v>
      </c>
      <c r="I2205" s="46"/>
      <c r="J2205" s="1"/>
      <c r="K2205" s="5"/>
      <c r="L2205" s="1"/>
      <c r="M2205" s="5"/>
      <c r="N2205" s="4"/>
      <c r="O2205" s="1"/>
      <c r="P2205" s="4"/>
      <c r="Q2205" s="1"/>
      <c r="R2205" s="9"/>
    </row>
    <row r="2206" spans="1:18">
      <c r="A2206" s="18"/>
      <c r="B2206" s="46" t="s">
        <v>518</v>
      </c>
      <c r="C2206" s="1">
        <v>1</v>
      </c>
      <c r="D2206" s="5">
        <f>(5.12+1.76)*2</f>
        <v>13.76</v>
      </c>
      <c r="E2206" s="1"/>
      <c r="F2206" s="5">
        <v>2.1</v>
      </c>
      <c r="G2206" s="4">
        <f t="shared" si="136"/>
        <v>28.896000000000001</v>
      </c>
      <c r="H2206" s="1" t="s">
        <v>10</v>
      </c>
      <c r="I2206" s="46"/>
      <c r="J2206" s="1"/>
      <c r="K2206" s="5"/>
      <c r="L2206" s="1"/>
      <c r="M2206" s="5"/>
      <c r="N2206" s="4"/>
      <c r="O2206" s="1"/>
      <c r="P2206" s="4"/>
      <c r="Q2206" s="1"/>
      <c r="R2206" s="9"/>
    </row>
    <row r="2207" spans="1:18">
      <c r="A2207" s="18"/>
      <c r="B2207" s="46"/>
      <c r="C2207" s="1"/>
      <c r="D2207" s="5"/>
      <c r="E2207" s="1"/>
      <c r="F2207" s="5"/>
      <c r="G2207" s="4"/>
      <c r="H2207" s="1"/>
      <c r="I2207" s="46"/>
      <c r="J2207" s="1"/>
      <c r="K2207" s="5"/>
      <c r="L2207" s="1"/>
      <c r="M2207" s="5"/>
      <c r="N2207" s="4"/>
      <c r="O2207" s="1"/>
      <c r="P2207" s="4"/>
      <c r="Q2207" s="1"/>
      <c r="R2207" s="9"/>
    </row>
    <row r="2208" spans="1:18">
      <c r="A2208" s="18"/>
      <c r="B2208" s="46"/>
      <c r="C2208" s="1"/>
      <c r="D2208" s="5"/>
      <c r="E2208" s="1"/>
      <c r="F2208" s="34" t="s">
        <v>11</v>
      </c>
      <c r="G2208" s="53">
        <f>SUM(G2199:G2207)</f>
        <v>285.66150000000005</v>
      </c>
      <c r="H2208" s="50" t="s">
        <v>17</v>
      </c>
      <c r="I2208" s="46"/>
      <c r="J2208" s="1"/>
      <c r="K2208" s="5"/>
      <c r="L2208" s="1"/>
      <c r="M2208" s="5"/>
      <c r="N2208" s="4"/>
      <c r="O2208" s="1"/>
      <c r="P2208" s="4"/>
      <c r="Q2208" s="1"/>
      <c r="R2208" s="9"/>
    </row>
    <row r="2209" spans="1:18">
      <c r="A2209" s="18"/>
      <c r="B2209" s="46"/>
      <c r="C2209" s="1"/>
      <c r="D2209" s="5"/>
      <c r="E2209" s="1"/>
      <c r="F2209" s="56" t="s">
        <v>13</v>
      </c>
      <c r="G2209" s="27">
        <f>ROUNDUP(G2208,0)</f>
        <v>286</v>
      </c>
      <c r="H2209" s="28" t="s">
        <v>17</v>
      </c>
      <c r="I2209" s="46"/>
      <c r="J2209" s="1"/>
      <c r="K2209" s="5"/>
      <c r="L2209" s="1"/>
      <c r="M2209" s="5"/>
      <c r="N2209" s="4"/>
      <c r="O2209" s="1"/>
      <c r="P2209" s="4"/>
      <c r="Q2209" s="1"/>
      <c r="R2209" s="9"/>
    </row>
    <row r="2210" spans="1:18">
      <c r="A2210" s="18"/>
      <c r="B2210" s="46"/>
      <c r="C2210" s="1"/>
      <c r="D2210" s="5"/>
      <c r="E2210" s="1"/>
      <c r="F2210" s="1"/>
      <c r="G2210" s="33"/>
      <c r="H2210" s="24"/>
      <c r="I2210" s="46"/>
      <c r="J2210" s="1"/>
      <c r="K2210" s="5"/>
      <c r="L2210" s="1"/>
      <c r="M2210" s="5"/>
      <c r="N2210" s="4"/>
      <c r="O2210" s="1"/>
      <c r="P2210" s="4"/>
      <c r="Q2210" s="1"/>
      <c r="R2210" s="9"/>
    </row>
    <row r="2211" spans="1:18">
      <c r="A2211" s="18"/>
      <c r="B2211" s="15" t="s">
        <v>445</v>
      </c>
      <c r="C2211" s="1"/>
      <c r="D2211" s="5"/>
      <c r="E2211" s="1"/>
      <c r="F2211" s="1"/>
      <c r="G2211" s="33"/>
      <c r="H2211" s="24"/>
      <c r="I2211" s="46"/>
      <c r="J2211" s="1"/>
      <c r="K2211" s="5"/>
      <c r="L2211" s="1"/>
      <c r="M2211" s="5"/>
      <c r="N2211" s="4"/>
      <c r="O2211" s="1"/>
      <c r="P2211" s="4"/>
      <c r="Q2211" s="1"/>
      <c r="R2211" s="9"/>
    </row>
    <row r="2212" spans="1:18">
      <c r="A2212" s="18"/>
      <c r="B2212" s="46" t="s">
        <v>507</v>
      </c>
      <c r="C2212" s="1">
        <v>1</v>
      </c>
      <c r="D2212" s="5">
        <f>5+3.155+3.155</f>
        <v>11.309999999999999</v>
      </c>
      <c r="E2212" s="1"/>
      <c r="F2212" s="5">
        <v>2.1</v>
      </c>
      <c r="G2212" s="4">
        <f>C2212*D2212*F2212</f>
        <v>23.750999999999998</v>
      </c>
      <c r="H2212" s="1" t="s">
        <v>17</v>
      </c>
      <c r="I2212" s="46"/>
      <c r="J2212" s="1"/>
      <c r="K2212" s="5"/>
      <c r="L2212" s="1"/>
      <c r="M2212" s="5"/>
      <c r="N2212" s="4"/>
      <c r="O2212" s="1"/>
      <c r="P2212" s="4"/>
      <c r="Q2212" s="1"/>
      <c r="R2212" s="9"/>
    </row>
    <row r="2213" spans="1:18">
      <c r="A2213" s="18"/>
      <c r="B2213" s="46" t="s">
        <v>508</v>
      </c>
      <c r="C2213" s="1">
        <v>1</v>
      </c>
      <c r="D2213" s="5">
        <f>(5.43+4.77)*2</f>
        <v>20.399999999999999</v>
      </c>
      <c r="E2213" s="1"/>
      <c r="F2213" s="5">
        <v>2.1</v>
      </c>
      <c r="G2213" s="4">
        <f>C2213*D2213*F2213</f>
        <v>42.839999999999996</v>
      </c>
      <c r="H2213" s="1" t="s">
        <v>10</v>
      </c>
      <c r="I2213" s="46"/>
      <c r="J2213" s="1"/>
      <c r="K2213" s="5"/>
      <c r="L2213" s="1"/>
      <c r="M2213" s="5"/>
      <c r="N2213" s="4"/>
      <c r="O2213" s="1"/>
      <c r="P2213" s="4"/>
      <c r="Q2213" s="1"/>
      <c r="R2213" s="9"/>
    </row>
    <row r="2214" spans="1:18">
      <c r="A2214" s="18"/>
      <c r="B2214" s="46"/>
      <c r="C2214" s="1"/>
      <c r="D2214" s="5"/>
      <c r="E2214" s="1"/>
      <c r="F2214" s="5"/>
      <c r="G2214" s="33"/>
      <c r="H2214" s="24"/>
      <c r="I2214" s="46"/>
      <c r="J2214" s="1"/>
      <c r="K2214" s="5"/>
      <c r="L2214" s="1"/>
      <c r="M2214" s="5"/>
      <c r="N2214" s="4"/>
      <c r="O2214" s="1"/>
      <c r="P2214" s="4"/>
      <c r="Q2214" s="1"/>
      <c r="R2214" s="9"/>
    </row>
    <row r="2215" spans="1:18">
      <c r="A2215" s="18"/>
      <c r="B2215" s="46"/>
      <c r="C2215" s="1"/>
      <c r="D2215" s="5"/>
      <c r="E2215" s="1"/>
      <c r="F2215" s="34" t="s">
        <v>11</v>
      </c>
      <c r="G2215" s="53">
        <f>SUM(G2212:G2214)</f>
        <v>66.590999999999994</v>
      </c>
      <c r="H2215" s="50" t="s">
        <v>17</v>
      </c>
      <c r="I2215" s="46"/>
      <c r="J2215" s="1"/>
      <c r="K2215" s="5"/>
      <c r="L2215" s="1"/>
      <c r="M2215" s="5"/>
      <c r="N2215" s="4"/>
      <c r="O2215" s="1"/>
      <c r="P2215" s="4"/>
      <c r="Q2215" s="1"/>
      <c r="R2215" s="9"/>
    </row>
    <row r="2216" spans="1:18">
      <c r="A2216" s="18"/>
      <c r="B2216" s="46"/>
      <c r="C2216" s="1"/>
      <c r="D2216" s="5"/>
      <c r="E2216" s="1"/>
      <c r="F2216" s="56" t="s">
        <v>13</v>
      </c>
      <c r="G2216" s="27">
        <f>ROUNDUP(G2215,0)</f>
        <v>67</v>
      </c>
      <c r="H2216" s="28" t="s">
        <v>17</v>
      </c>
      <c r="I2216" s="46"/>
      <c r="J2216" s="1"/>
      <c r="K2216" s="5"/>
      <c r="L2216" s="1"/>
      <c r="M2216" s="5"/>
      <c r="N2216" s="4"/>
      <c r="O2216" s="1"/>
      <c r="P2216" s="4"/>
      <c r="Q2216" s="1"/>
      <c r="R2216" s="9"/>
    </row>
    <row r="2217" spans="1:18">
      <c r="A2217" s="18"/>
      <c r="B2217" s="46"/>
      <c r="C2217" s="1"/>
      <c r="D2217" s="5"/>
      <c r="E2217" s="5"/>
      <c r="F2217" s="1"/>
      <c r="G2217" s="33"/>
      <c r="H2217" s="24"/>
      <c r="I2217" s="9"/>
      <c r="J2217" s="4"/>
      <c r="K2217" s="31"/>
    </row>
    <row r="2218" spans="1:18">
      <c r="A2218" s="18">
        <f>A2197+1</f>
        <v>62</v>
      </c>
      <c r="B2218" s="9" t="s">
        <v>561</v>
      </c>
      <c r="C2218" s="1"/>
      <c r="D2218" s="1"/>
      <c r="E2218" s="1"/>
      <c r="F2218" s="1"/>
      <c r="G2218" s="33"/>
      <c r="H2218" s="24"/>
      <c r="I2218" s="9"/>
      <c r="J2218" s="4"/>
    </row>
    <row r="2219" spans="1:18">
      <c r="A2219" s="18"/>
      <c r="B2219" s="15" t="s">
        <v>56</v>
      </c>
      <c r="C2219" s="1"/>
      <c r="D2219" s="1"/>
      <c r="E2219" s="1"/>
      <c r="F2219" s="1"/>
      <c r="G2219" s="33"/>
      <c r="H2219" s="24"/>
      <c r="I2219" s="9"/>
      <c r="J2219" s="4"/>
    </row>
    <row r="2220" spans="1:18">
      <c r="A2220" s="18"/>
      <c r="B2220" s="46" t="s">
        <v>466</v>
      </c>
      <c r="C2220" s="1">
        <v>1</v>
      </c>
      <c r="D2220" s="5">
        <v>4.8449999999999998</v>
      </c>
      <c r="E2220" s="5">
        <v>8.27</v>
      </c>
      <c r="F2220" s="1"/>
      <c r="G2220" s="4">
        <f>C2220*D2220*E2220</f>
        <v>40.068149999999996</v>
      </c>
      <c r="H2220" s="1" t="s">
        <v>17</v>
      </c>
      <c r="I2220" s="9"/>
      <c r="J2220" s="4"/>
    </row>
    <row r="2221" spans="1:18">
      <c r="A2221" s="18"/>
      <c r="B2221" s="46" t="s">
        <v>469</v>
      </c>
      <c r="C2221" s="1">
        <v>1</v>
      </c>
      <c r="D2221" s="5">
        <v>4.7699999999999996</v>
      </c>
      <c r="E2221" s="5">
        <v>3.52</v>
      </c>
      <c r="F2221" s="1"/>
      <c r="G2221" s="4">
        <f t="shared" ref="G2221:G2238" si="137">C2221*D2221*E2221</f>
        <v>16.790399999999998</v>
      </c>
      <c r="H2221" s="1" t="s">
        <v>10</v>
      </c>
      <c r="I2221" s="9"/>
      <c r="J2221" s="4"/>
    </row>
    <row r="2222" spans="1:18">
      <c r="A2222" s="18"/>
      <c r="B2222" s="46" t="s">
        <v>544</v>
      </c>
      <c r="C2222" s="1">
        <v>1</v>
      </c>
      <c r="D2222" s="5">
        <v>7.27</v>
      </c>
      <c r="E2222" s="5">
        <v>4.7699999999999996</v>
      </c>
      <c r="F2222" s="1"/>
      <c r="G2222" s="4">
        <f t="shared" si="137"/>
        <v>34.677899999999994</v>
      </c>
      <c r="H2222" s="1" t="s">
        <v>10</v>
      </c>
      <c r="I2222" s="9"/>
      <c r="J2222" s="4"/>
    </row>
    <row r="2223" spans="1:18">
      <c r="A2223" s="18"/>
      <c r="B2223" s="46"/>
      <c r="C2223" s="1">
        <v>1</v>
      </c>
      <c r="D2223" s="5">
        <v>5</v>
      </c>
      <c r="E2223" s="5">
        <v>2.27</v>
      </c>
      <c r="F2223" s="1"/>
      <c r="G2223" s="4">
        <f t="shared" si="137"/>
        <v>11.35</v>
      </c>
      <c r="H2223" s="1" t="s">
        <v>10</v>
      </c>
      <c r="I2223" s="9"/>
      <c r="J2223" s="4"/>
    </row>
    <row r="2224" spans="1:18">
      <c r="A2224" s="18"/>
      <c r="B2224" s="46" t="s">
        <v>474</v>
      </c>
      <c r="C2224" s="1">
        <v>1</v>
      </c>
      <c r="D2224" s="5">
        <v>7.6050000000000004</v>
      </c>
      <c r="E2224" s="5">
        <v>4.2699999999999996</v>
      </c>
      <c r="F2224" s="1"/>
      <c r="G2224" s="4">
        <f t="shared" si="137"/>
        <v>32.473349999999996</v>
      </c>
      <c r="H2224" s="1" t="s">
        <v>10</v>
      </c>
      <c r="I2224" s="9"/>
      <c r="J2224" s="4"/>
    </row>
    <row r="2225" spans="1:10">
      <c r="A2225" s="18"/>
      <c r="B2225" s="46" t="s">
        <v>480</v>
      </c>
      <c r="C2225" s="1">
        <v>1</v>
      </c>
      <c r="D2225" s="5">
        <v>2.97</v>
      </c>
      <c r="E2225" s="5">
        <v>4.2699999999999996</v>
      </c>
      <c r="F2225" s="1"/>
      <c r="G2225" s="4">
        <f t="shared" si="137"/>
        <v>12.681899999999999</v>
      </c>
      <c r="H2225" s="1" t="s">
        <v>10</v>
      </c>
      <c r="I2225" s="9"/>
      <c r="J2225" s="4"/>
    </row>
    <row r="2226" spans="1:10">
      <c r="A2226" s="18"/>
      <c r="B2226" s="46"/>
      <c r="C2226" s="1">
        <v>1</v>
      </c>
      <c r="D2226" s="5">
        <v>1.885</v>
      </c>
      <c r="E2226" s="5">
        <v>4.2750000000000004</v>
      </c>
      <c r="F2226" s="1"/>
      <c r="G2226" s="4">
        <f t="shared" si="137"/>
        <v>8.0583749999999998</v>
      </c>
      <c r="H2226" s="1" t="s">
        <v>10</v>
      </c>
      <c r="I2226" s="9"/>
      <c r="J2226" s="4"/>
    </row>
    <row r="2227" spans="1:10">
      <c r="A2227" s="18"/>
      <c r="B2227" s="46" t="s">
        <v>481</v>
      </c>
      <c r="C2227" s="1">
        <v>1</v>
      </c>
      <c r="D2227" s="5">
        <v>2.8849999999999998</v>
      </c>
      <c r="E2227" s="5">
        <v>2.3450000000000002</v>
      </c>
      <c r="F2227" s="1"/>
      <c r="G2227" s="4">
        <f t="shared" si="137"/>
        <v>6.7653249999999998</v>
      </c>
      <c r="H2227" s="1" t="s">
        <v>10</v>
      </c>
      <c r="I2227" s="9"/>
      <c r="J2227" s="4"/>
    </row>
    <row r="2228" spans="1:10">
      <c r="A2228" s="18"/>
      <c r="B2228" s="46"/>
      <c r="C2228" s="1">
        <v>1</v>
      </c>
      <c r="D2228" s="5">
        <v>2.77</v>
      </c>
      <c r="E2228" s="5">
        <v>1.81</v>
      </c>
      <c r="F2228" s="1"/>
      <c r="G2228" s="4">
        <f t="shared" si="137"/>
        <v>5.0137</v>
      </c>
      <c r="H2228" s="1" t="s">
        <v>10</v>
      </c>
      <c r="I2228" s="9"/>
      <c r="J2228" s="4"/>
    </row>
    <row r="2229" spans="1:10">
      <c r="A2229" s="18"/>
      <c r="B2229" s="46" t="s">
        <v>545</v>
      </c>
      <c r="C2229" s="1">
        <v>1</v>
      </c>
      <c r="D2229" s="5">
        <v>5.12</v>
      </c>
      <c r="E2229" s="5">
        <v>2.105</v>
      </c>
      <c r="F2229" s="1"/>
      <c r="G2229" s="4">
        <f t="shared" si="137"/>
        <v>10.7776</v>
      </c>
      <c r="H2229" s="1" t="s">
        <v>10</v>
      </c>
      <c r="I2229" s="9"/>
      <c r="J2229" s="4"/>
    </row>
    <row r="2230" spans="1:10">
      <c r="A2230" s="18"/>
      <c r="B2230" s="46" t="s">
        <v>546</v>
      </c>
      <c r="C2230" s="1">
        <v>1</v>
      </c>
      <c r="D2230" s="5">
        <v>5.2</v>
      </c>
      <c r="E2230" s="5">
        <v>1.2</v>
      </c>
      <c r="F2230" s="1"/>
      <c r="G2230" s="4">
        <f t="shared" si="137"/>
        <v>6.24</v>
      </c>
      <c r="H2230" s="1" t="s">
        <v>10</v>
      </c>
      <c r="I2230" s="9"/>
      <c r="J2230" s="4"/>
    </row>
    <row r="2231" spans="1:10">
      <c r="A2231" s="18"/>
      <c r="B2231" s="46" t="s">
        <v>547</v>
      </c>
      <c r="C2231" s="1">
        <v>1</v>
      </c>
      <c r="D2231" s="5">
        <v>5.38</v>
      </c>
      <c r="E2231" s="5">
        <v>1.2</v>
      </c>
      <c r="F2231" s="1"/>
      <c r="G2231" s="4">
        <f t="shared" si="137"/>
        <v>6.4559999999999995</v>
      </c>
      <c r="H2231" s="1" t="s">
        <v>10</v>
      </c>
      <c r="I2231" s="9"/>
      <c r="J2231" s="4"/>
    </row>
    <row r="2232" spans="1:10">
      <c r="A2232" s="18"/>
      <c r="B2232" s="46" t="s">
        <v>548</v>
      </c>
      <c r="C2232" s="1">
        <v>1</v>
      </c>
      <c r="D2232" s="5">
        <v>1.2</v>
      </c>
      <c r="E2232" s="5">
        <v>11.58</v>
      </c>
      <c r="F2232" s="1"/>
      <c r="G2232" s="4">
        <f t="shared" si="137"/>
        <v>13.895999999999999</v>
      </c>
      <c r="H2232" s="1" t="s">
        <v>10</v>
      </c>
      <c r="I2232" s="9"/>
      <c r="J2232" s="4"/>
    </row>
    <row r="2233" spans="1:10">
      <c r="A2233" s="18"/>
      <c r="B2233" s="46" t="s">
        <v>538</v>
      </c>
      <c r="C2233" s="1">
        <v>1</v>
      </c>
      <c r="D2233" s="5">
        <v>2.6850000000000001</v>
      </c>
      <c r="E2233" s="5">
        <v>1.81</v>
      </c>
      <c r="F2233" s="1"/>
      <c r="G2233" s="4">
        <f t="shared" si="137"/>
        <v>4.8598500000000007</v>
      </c>
      <c r="H2233" s="1" t="s">
        <v>10</v>
      </c>
      <c r="I2233" s="9"/>
      <c r="J2233" s="4"/>
    </row>
    <row r="2234" spans="1:10">
      <c r="A2234" s="18"/>
      <c r="B2234" s="46" t="s">
        <v>538</v>
      </c>
      <c r="C2234" s="1">
        <v>1</v>
      </c>
      <c r="D2234" s="5">
        <v>2.2149999999999999</v>
      </c>
      <c r="E2234" s="5">
        <v>2.9</v>
      </c>
      <c r="F2234" s="1"/>
      <c r="G2234" s="4">
        <f t="shared" si="137"/>
        <v>6.4234999999999998</v>
      </c>
      <c r="H2234" s="1" t="s">
        <v>10</v>
      </c>
      <c r="I2234" s="9"/>
      <c r="J2234" s="4"/>
    </row>
    <row r="2235" spans="1:10">
      <c r="A2235" s="18"/>
      <c r="B2235" s="46" t="s">
        <v>478</v>
      </c>
      <c r="C2235" s="1">
        <v>1</v>
      </c>
      <c r="D2235" s="5">
        <v>2.44</v>
      </c>
      <c r="E2235" s="5">
        <v>2.9</v>
      </c>
      <c r="F2235" s="1"/>
      <c r="G2235" s="4">
        <f t="shared" si="137"/>
        <v>7.0759999999999996</v>
      </c>
      <c r="H2235" s="1" t="s">
        <v>10</v>
      </c>
      <c r="I2235" s="9"/>
      <c r="J2235" s="4"/>
    </row>
    <row r="2236" spans="1:10">
      <c r="A2236" s="18"/>
      <c r="B2236" s="46"/>
      <c r="C2236" s="1">
        <v>1</v>
      </c>
      <c r="D2236" s="5">
        <v>3.36</v>
      </c>
      <c r="E2236" s="5">
        <v>2.9</v>
      </c>
      <c r="F2236" s="1"/>
      <c r="G2236" s="4">
        <f t="shared" si="137"/>
        <v>9.7439999999999998</v>
      </c>
      <c r="H2236" s="1" t="s">
        <v>10</v>
      </c>
      <c r="I2236" s="9"/>
      <c r="J2236" s="4"/>
    </row>
    <row r="2237" spans="1:10">
      <c r="A2237" s="18"/>
      <c r="B2237" s="46" t="s">
        <v>461</v>
      </c>
      <c r="C2237" s="1">
        <v>5</v>
      </c>
      <c r="D2237" s="5">
        <v>1.78</v>
      </c>
      <c r="E2237" s="5">
        <v>0.45</v>
      </c>
      <c r="F2237" s="1"/>
      <c r="G2237" s="4">
        <f t="shared" si="137"/>
        <v>4.0049999999999999</v>
      </c>
      <c r="H2237" s="1" t="s">
        <v>10</v>
      </c>
      <c r="I2237" s="9"/>
      <c r="J2237" s="4"/>
    </row>
    <row r="2238" spans="1:10">
      <c r="A2238" s="18"/>
      <c r="C2238" s="1">
        <v>15</v>
      </c>
      <c r="D2238" s="5">
        <v>1.2</v>
      </c>
      <c r="E2238" s="5">
        <v>0.45</v>
      </c>
      <c r="F2238" s="1"/>
      <c r="G2238" s="4">
        <f t="shared" si="137"/>
        <v>8.1</v>
      </c>
      <c r="H2238" s="1" t="s">
        <v>10</v>
      </c>
      <c r="I2238" s="9"/>
      <c r="J2238" s="4"/>
    </row>
    <row r="2239" spans="1:10">
      <c r="A2239" s="18"/>
      <c r="F2239" s="1"/>
      <c r="G2239" s="33"/>
      <c r="H2239" s="24"/>
      <c r="I2239" s="9"/>
      <c r="J2239" s="4"/>
    </row>
    <row r="2240" spans="1:10">
      <c r="A2240" s="18"/>
      <c r="B2240" s="9"/>
      <c r="C2240" s="1"/>
      <c r="D2240" s="5"/>
      <c r="E2240" s="5"/>
      <c r="F2240" s="34" t="s">
        <v>11</v>
      </c>
      <c r="G2240" s="53">
        <f>SUM(G2220:G2239)</f>
        <v>245.45704999999995</v>
      </c>
      <c r="H2240" s="50" t="s">
        <v>17</v>
      </c>
      <c r="I2240" s="9"/>
      <c r="J2240" s="4"/>
    </row>
    <row r="2241" spans="1:16">
      <c r="A2241" s="18"/>
      <c r="B2241" s="9"/>
      <c r="F2241" s="56" t="s">
        <v>13</v>
      </c>
      <c r="G2241" s="27">
        <f>ROUNDUP(G2240,0)</f>
        <v>246</v>
      </c>
      <c r="H2241" s="28" t="s">
        <v>17</v>
      </c>
      <c r="I2241" s="9"/>
      <c r="J2241" s="4"/>
    </row>
    <row r="2242" spans="1:16">
      <c r="A2242" s="18"/>
      <c r="B2242" s="15"/>
      <c r="C2242" s="1"/>
      <c r="D2242" s="1"/>
      <c r="E2242" s="1"/>
      <c r="F2242" s="1"/>
      <c r="G2242" s="33"/>
      <c r="H2242" s="24"/>
      <c r="I2242" s="9"/>
      <c r="J2242" s="4"/>
    </row>
    <row r="2243" spans="1:16">
      <c r="A2243" s="18">
        <f>A2218+1</f>
        <v>63</v>
      </c>
      <c r="B2243" s="9" t="s">
        <v>44</v>
      </c>
      <c r="C2243" s="1"/>
      <c r="D2243" s="1"/>
      <c r="E2243" s="1"/>
      <c r="F2243" s="1"/>
      <c r="G2243" s="33"/>
      <c r="H2243" s="24"/>
      <c r="I2243" s="9"/>
    </row>
    <row r="2244" spans="1:16">
      <c r="A2244" s="18"/>
      <c r="B2244" s="15" t="s">
        <v>56</v>
      </c>
      <c r="C2244" s="1"/>
      <c r="D2244" s="1"/>
      <c r="E2244" s="1"/>
      <c r="F2244" s="1"/>
      <c r="G2244" s="33"/>
      <c r="H2244" s="24"/>
      <c r="I2244" s="9"/>
      <c r="J2244" s="46"/>
      <c r="K2244" s="1"/>
      <c r="L2244" s="5"/>
      <c r="M2244" s="5"/>
      <c r="N2244" s="5"/>
      <c r="O2244" s="4"/>
      <c r="P2244" s="1"/>
    </row>
    <row r="2245" spans="1:16">
      <c r="A2245" s="18"/>
      <c r="B2245" s="46" t="s">
        <v>485</v>
      </c>
      <c r="C2245" s="1">
        <v>1</v>
      </c>
      <c r="D2245" s="5">
        <v>2.835</v>
      </c>
      <c r="E2245" s="5">
        <v>3.61</v>
      </c>
      <c r="F2245" s="1"/>
      <c r="G2245" s="4">
        <f>C2245*D2245*E2245</f>
        <v>10.234349999999999</v>
      </c>
      <c r="H2245" s="1" t="s">
        <v>17</v>
      </c>
      <c r="I2245" s="9"/>
      <c r="J2245" s="46"/>
      <c r="K2245" s="1"/>
      <c r="L2245" s="5"/>
      <c r="M2245" s="5"/>
      <c r="N2245" s="5"/>
      <c r="O2245" s="4"/>
      <c r="P2245" s="1"/>
    </row>
    <row r="2246" spans="1:16">
      <c r="A2246" s="18"/>
      <c r="B2246" s="46"/>
      <c r="C2246" s="1">
        <v>1</v>
      </c>
      <c r="D2246" s="5">
        <v>3.36</v>
      </c>
      <c r="E2246" s="5">
        <v>3.01</v>
      </c>
      <c r="F2246" s="1"/>
      <c r="G2246" s="4">
        <f t="shared" ref="G2246:G2251" si="138">C2246*D2246*E2246</f>
        <v>10.113599999999998</v>
      </c>
      <c r="H2246" s="1" t="s">
        <v>10</v>
      </c>
      <c r="I2246" s="9"/>
      <c r="J2246" s="46"/>
      <c r="K2246" s="1"/>
      <c r="L2246" s="5"/>
      <c r="M2246" s="5"/>
      <c r="N2246" s="5"/>
      <c r="O2246" s="4"/>
      <c r="P2246" s="1"/>
    </row>
    <row r="2247" spans="1:16">
      <c r="A2247" s="18"/>
      <c r="B2247" s="46" t="s">
        <v>484</v>
      </c>
      <c r="C2247" s="1">
        <v>1</v>
      </c>
      <c r="D2247" s="5">
        <v>2.835</v>
      </c>
      <c r="E2247" s="5">
        <v>1.915</v>
      </c>
      <c r="F2247" s="1"/>
      <c r="G2247" s="4">
        <f t="shared" si="138"/>
        <v>5.4290250000000002</v>
      </c>
      <c r="H2247" s="1" t="s">
        <v>10</v>
      </c>
      <c r="I2247" s="9"/>
      <c r="J2247" s="46"/>
      <c r="K2247" s="1"/>
      <c r="L2247" s="5"/>
      <c r="M2247" s="5"/>
      <c r="N2247" s="5"/>
      <c r="O2247" s="4"/>
      <c r="P2247" s="1"/>
    </row>
    <row r="2248" spans="1:16">
      <c r="A2248" s="18"/>
      <c r="B2248" s="46"/>
      <c r="C2248" s="1">
        <v>1</v>
      </c>
      <c r="D2248" s="5">
        <v>1.5</v>
      </c>
      <c r="E2248" s="5">
        <v>2.5150000000000001</v>
      </c>
      <c r="F2248" s="1"/>
      <c r="G2248" s="4">
        <f t="shared" si="138"/>
        <v>3.7725</v>
      </c>
      <c r="H2248" s="1" t="s">
        <v>10</v>
      </c>
      <c r="I2248" s="9"/>
      <c r="J2248" s="46"/>
      <c r="K2248" s="1"/>
      <c r="L2248" s="5"/>
      <c r="M2248" s="5"/>
      <c r="N2248" s="5"/>
      <c r="O2248" s="4"/>
      <c r="P2248" s="1"/>
    </row>
    <row r="2249" spans="1:16">
      <c r="A2249" s="18"/>
      <c r="B2249" s="46"/>
      <c r="C2249" s="1">
        <v>1</v>
      </c>
      <c r="D2249" s="5">
        <v>2.875</v>
      </c>
      <c r="E2249" s="5">
        <v>2.5150000000000001</v>
      </c>
      <c r="F2249" s="1"/>
      <c r="G2249" s="4">
        <f t="shared" si="138"/>
        <v>7.2306250000000007</v>
      </c>
      <c r="H2249" s="1" t="s">
        <v>10</v>
      </c>
      <c r="I2249" s="9"/>
      <c r="J2249" s="46"/>
      <c r="K2249" s="1"/>
      <c r="L2249" s="5"/>
      <c r="M2249" s="5"/>
      <c r="N2249" s="5"/>
      <c r="O2249" s="4"/>
      <c r="P2249" s="1"/>
    </row>
    <row r="2250" spans="1:16">
      <c r="A2250" s="18"/>
      <c r="B2250" s="46" t="s">
        <v>479</v>
      </c>
      <c r="C2250" s="1">
        <v>1</v>
      </c>
      <c r="D2250" s="5">
        <v>2.4500000000000002</v>
      </c>
      <c r="E2250" s="5">
        <v>1.46</v>
      </c>
      <c r="F2250" s="1"/>
      <c r="G2250" s="4">
        <f t="shared" si="138"/>
        <v>3.577</v>
      </c>
      <c r="H2250" s="1" t="s">
        <v>10</v>
      </c>
      <c r="I2250" s="9"/>
      <c r="J2250" s="46"/>
      <c r="K2250" s="1"/>
      <c r="L2250" s="5"/>
      <c r="M2250" s="5"/>
      <c r="N2250" s="5"/>
      <c r="O2250" s="4"/>
      <c r="P2250" s="1"/>
    </row>
    <row r="2251" spans="1:16">
      <c r="A2251" s="18"/>
      <c r="B2251" s="46"/>
      <c r="C2251" s="1">
        <v>1</v>
      </c>
      <c r="D2251" s="5">
        <v>1.19</v>
      </c>
      <c r="E2251" s="5">
        <v>1.46</v>
      </c>
      <c r="F2251" s="1"/>
      <c r="G2251" s="4">
        <f t="shared" si="138"/>
        <v>1.7373999999999998</v>
      </c>
      <c r="H2251" s="1" t="s">
        <v>10</v>
      </c>
      <c r="I2251" s="9"/>
      <c r="J2251" s="46"/>
      <c r="K2251" s="1"/>
      <c r="L2251" s="5"/>
      <c r="M2251" s="5"/>
      <c r="N2251" s="5"/>
      <c r="O2251" s="4"/>
      <c r="P2251" s="1"/>
    </row>
    <row r="2252" spans="1:16">
      <c r="A2252" s="18"/>
      <c r="B2252" s="46"/>
      <c r="C2252" s="1"/>
      <c r="D2252" s="5"/>
      <c r="E2252" s="5"/>
      <c r="F2252" s="1"/>
      <c r="G2252" s="4"/>
      <c r="H2252" s="1"/>
      <c r="I2252" s="9"/>
      <c r="J2252" s="46"/>
      <c r="K2252" s="1"/>
      <c r="L2252" s="5"/>
      <c r="M2252" s="5"/>
      <c r="N2252" s="5"/>
      <c r="O2252" s="4"/>
      <c r="P2252" s="1"/>
    </row>
    <row r="2253" spans="1:16">
      <c r="A2253" s="18"/>
      <c r="B2253" s="46"/>
      <c r="C2253" s="1"/>
      <c r="D2253" s="5"/>
      <c r="E2253" s="5"/>
      <c r="F2253" s="34" t="s">
        <v>11</v>
      </c>
      <c r="G2253" s="53">
        <f>SUM(G2245:G2252)</f>
        <v>42.094499999999996</v>
      </c>
      <c r="H2253" s="50" t="s">
        <v>17</v>
      </c>
      <c r="I2253" s="9"/>
      <c r="J2253" s="46"/>
      <c r="K2253" s="1"/>
      <c r="L2253" s="5"/>
      <c r="M2253" s="5"/>
      <c r="N2253" s="5"/>
      <c r="O2253" s="4"/>
      <c r="P2253" s="1"/>
    </row>
    <row r="2254" spans="1:16">
      <c r="A2254" s="18"/>
      <c r="B2254" s="9"/>
      <c r="F2254" s="56" t="s">
        <v>13</v>
      </c>
      <c r="G2254" s="27">
        <f>ROUNDUP(G2253,0)</f>
        <v>43</v>
      </c>
      <c r="H2254" s="28" t="s">
        <v>17</v>
      </c>
      <c r="I2254" s="9"/>
      <c r="J2254" s="46"/>
      <c r="K2254" s="1"/>
      <c r="L2254" s="5"/>
      <c r="M2254" s="5"/>
      <c r="N2254" s="5"/>
      <c r="O2254" s="4"/>
      <c r="P2254" s="1"/>
    </row>
    <row r="2255" spans="1:16">
      <c r="A2255" s="18"/>
      <c r="B2255" s="9"/>
      <c r="F2255" s="1"/>
      <c r="G2255" s="33"/>
      <c r="H2255" s="24"/>
      <c r="I2255" s="9"/>
      <c r="J2255" s="46"/>
      <c r="K2255" s="1"/>
      <c r="L2255" s="5"/>
      <c r="M2255" s="5"/>
      <c r="N2255" s="5"/>
      <c r="O2255" s="4"/>
      <c r="P2255" s="1"/>
    </row>
    <row r="2256" spans="1:16">
      <c r="A2256" s="18"/>
      <c r="B2256" s="15" t="s">
        <v>445</v>
      </c>
      <c r="C2256" s="1"/>
      <c r="D2256" s="1"/>
      <c r="E2256" s="1"/>
      <c r="F2256" s="1"/>
      <c r="G2256" s="33"/>
      <c r="H2256" s="24"/>
      <c r="I2256" s="9"/>
      <c r="J2256" s="46"/>
      <c r="K2256" s="1"/>
      <c r="L2256" s="5"/>
      <c r="M2256" s="5"/>
      <c r="N2256" s="5"/>
      <c r="O2256" s="4"/>
      <c r="P2256" s="1"/>
    </row>
    <row r="2257" spans="1:16">
      <c r="A2257" s="18"/>
      <c r="B2257" s="46" t="s">
        <v>31</v>
      </c>
      <c r="C2257" s="1">
        <v>1</v>
      </c>
      <c r="D2257" s="5">
        <v>1.35</v>
      </c>
      <c r="E2257" s="5">
        <v>1.8</v>
      </c>
      <c r="F2257" s="1"/>
      <c r="G2257" s="4">
        <f>C2257*D2257*E2257</f>
        <v>2.4300000000000002</v>
      </c>
      <c r="H2257" s="1" t="s">
        <v>17</v>
      </c>
      <c r="I2257" s="9"/>
      <c r="J2257" s="46"/>
      <c r="K2257" s="1"/>
      <c r="L2257" s="5"/>
      <c r="M2257" s="5"/>
      <c r="N2257" s="5"/>
      <c r="O2257" s="4"/>
      <c r="P2257" s="1"/>
    </row>
    <row r="2258" spans="1:16">
      <c r="A2258" s="18"/>
      <c r="B2258" s="46" t="s">
        <v>485</v>
      </c>
      <c r="C2258" s="1">
        <v>1</v>
      </c>
      <c r="D2258" s="5">
        <v>1.35</v>
      </c>
      <c r="E2258" s="5">
        <v>2.67</v>
      </c>
      <c r="F2258" s="1"/>
      <c r="G2258" s="4">
        <f t="shared" ref="G2258:G2267" si="139">C2258*D2258*E2258</f>
        <v>3.6045000000000003</v>
      </c>
      <c r="H2258" s="1" t="s">
        <v>10</v>
      </c>
      <c r="I2258" s="9"/>
      <c r="J2258" s="46"/>
      <c r="K2258" s="1"/>
      <c r="L2258" s="5"/>
      <c r="M2258" s="5"/>
      <c r="N2258" s="5"/>
      <c r="O2258" s="4"/>
      <c r="P2258" s="1"/>
    </row>
    <row r="2259" spans="1:16">
      <c r="A2259" s="18"/>
      <c r="B2259" s="46" t="s">
        <v>484</v>
      </c>
      <c r="C2259" s="1">
        <v>1</v>
      </c>
      <c r="D2259" s="5">
        <v>1.35</v>
      </c>
      <c r="E2259" s="5">
        <v>1.8</v>
      </c>
      <c r="F2259" s="1"/>
      <c r="G2259" s="4">
        <f t="shared" si="139"/>
        <v>2.4300000000000002</v>
      </c>
      <c r="H2259" s="1" t="s">
        <v>10</v>
      </c>
      <c r="I2259" s="9"/>
      <c r="J2259" s="46"/>
      <c r="K2259" s="1"/>
      <c r="L2259" s="5"/>
      <c r="M2259" s="5"/>
      <c r="N2259" s="5"/>
      <c r="O2259" s="4"/>
      <c r="P2259" s="1"/>
    </row>
    <row r="2260" spans="1:16">
      <c r="A2260" s="18"/>
      <c r="B2260" s="46" t="s">
        <v>31</v>
      </c>
      <c r="C2260" s="1">
        <v>1</v>
      </c>
      <c r="D2260" s="5">
        <v>2.5</v>
      </c>
      <c r="E2260" s="5">
        <v>1.5</v>
      </c>
      <c r="F2260" s="1"/>
      <c r="G2260" s="4">
        <f t="shared" si="139"/>
        <v>3.75</v>
      </c>
      <c r="H2260" s="1" t="s">
        <v>10</v>
      </c>
      <c r="I2260" s="9"/>
      <c r="J2260" s="46"/>
      <c r="K2260" s="1"/>
      <c r="L2260" s="5"/>
      <c r="M2260" s="5"/>
      <c r="N2260" s="5"/>
      <c r="O2260" s="4"/>
      <c r="P2260" s="1"/>
    </row>
    <row r="2261" spans="1:16">
      <c r="A2261" s="18"/>
      <c r="B2261" s="46" t="s">
        <v>505</v>
      </c>
      <c r="C2261" s="1">
        <v>1</v>
      </c>
      <c r="D2261" s="5">
        <v>1.5</v>
      </c>
      <c r="E2261" s="5">
        <v>1.05</v>
      </c>
      <c r="F2261" s="1"/>
      <c r="G2261" s="4">
        <f t="shared" si="139"/>
        <v>1.5750000000000002</v>
      </c>
      <c r="H2261" s="1" t="s">
        <v>10</v>
      </c>
      <c r="I2261" s="9"/>
      <c r="J2261" s="46"/>
      <c r="K2261" s="1"/>
      <c r="L2261" s="5"/>
      <c r="M2261" s="5"/>
      <c r="N2261" s="5"/>
      <c r="O2261" s="4"/>
      <c r="P2261" s="1"/>
    </row>
    <row r="2262" spans="1:16">
      <c r="A2262" s="18"/>
      <c r="B2262" s="46" t="s">
        <v>504</v>
      </c>
      <c r="C2262" s="1">
        <v>1</v>
      </c>
      <c r="D2262" s="5">
        <v>2.48</v>
      </c>
      <c r="E2262" s="5">
        <v>1.35</v>
      </c>
      <c r="F2262" s="1"/>
      <c r="G2262" s="4">
        <f t="shared" si="139"/>
        <v>3.3480000000000003</v>
      </c>
      <c r="H2262" s="1" t="s">
        <v>10</v>
      </c>
      <c r="I2262" s="9"/>
      <c r="J2262" s="46"/>
      <c r="K2262" s="1"/>
      <c r="L2262" s="5"/>
      <c r="M2262" s="5"/>
      <c r="N2262" s="5"/>
      <c r="O2262" s="4"/>
      <c r="P2262" s="1"/>
    </row>
    <row r="2263" spans="1:16">
      <c r="A2263" s="18"/>
      <c r="B2263" s="46" t="s">
        <v>31</v>
      </c>
      <c r="C2263" s="1">
        <v>1</v>
      </c>
      <c r="D2263" s="5">
        <v>4.2249999999999996</v>
      </c>
      <c r="E2263" s="5">
        <v>2.2549999999999999</v>
      </c>
      <c r="F2263" s="1"/>
      <c r="G2263" s="4">
        <f t="shared" si="139"/>
        <v>9.5273749999999993</v>
      </c>
      <c r="H2263" s="1" t="s">
        <v>10</v>
      </c>
      <c r="I2263" s="9"/>
      <c r="J2263" s="46"/>
      <c r="K2263" s="1"/>
      <c r="L2263" s="5"/>
      <c r="M2263" s="5"/>
      <c r="N2263" s="5"/>
      <c r="O2263" s="4"/>
      <c r="P2263" s="1"/>
    </row>
    <row r="2264" spans="1:16">
      <c r="A2264" s="18"/>
      <c r="B2264" s="46" t="s">
        <v>504</v>
      </c>
      <c r="C2264" s="1">
        <v>1</v>
      </c>
      <c r="D2264" s="5">
        <v>1.2949999999999999</v>
      </c>
      <c r="E2264" s="5">
        <v>1.8</v>
      </c>
      <c r="F2264" s="1"/>
      <c r="G2264" s="4">
        <f t="shared" si="139"/>
        <v>2.331</v>
      </c>
      <c r="H2264" s="1" t="s">
        <v>10</v>
      </c>
      <c r="I2264" s="9"/>
      <c r="J2264" s="46"/>
      <c r="K2264" s="1"/>
      <c r="L2264" s="5"/>
      <c r="M2264" s="5"/>
      <c r="N2264" s="5"/>
      <c r="O2264" s="4"/>
      <c r="P2264" s="1"/>
    </row>
    <row r="2265" spans="1:16">
      <c r="A2265" s="18"/>
      <c r="B2265" s="46"/>
      <c r="C2265" s="1">
        <v>1</v>
      </c>
      <c r="D2265" s="5">
        <v>1.18</v>
      </c>
      <c r="E2265" s="5">
        <v>1.8</v>
      </c>
      <c r="F2265" s="1"/>
      <c r="G2265" s="4">
        <f t="shared" si="139"/>
        <v>2.1240000000000001</v>
      </c>
      <c r="H2265" s="1" t="s">
        <v>10</v>
      </c>
      <c r="I2265" s="9"/>
      <c r="J2265" s="46"/>
      <c r="K2265" s="1"/>
      <c r="L2265" s="5"/>
      <c r="M2265" s="5"/>
      <c r="N2265" s="5"/>
      <c r="O2265" s="4"/>
      <c r="P2265" s="1"/>
    </row>
    <row r="2266" spans="1:16">
      <c r="A2266" s="18"/>
      <c r="B2266" s="46" t="s">
        <v>505</v>
      </c>
      <c r="C2266" s="1">
        <v>1</v>
      </c>
      <c r="D2266" s="5">
        <v>0.97499999999999998</v>
      </c>
      <c r="E2266" s="5">
        <v>1.5</v>
      </c>
      <c r="F2266" s="1"/>
      <c r="G2266" s="4">
        <f t="shared" si="139"/>
        <v>1.4624999999999999</v>
      </c>
      <c r="H2266" s="1" t="s">
        <v>10</v>
      </c>
      <c r="I2266" s="9"/>
      <c r="J2266" s="46"/>
      <c r="K2266" s="1"/>
      <c r="L2266" s="5"/>
      <c r="M2266" s="5"/>
      <c r="N2266" s="5"/>
      <c r="O2266" s="4"/>
      <c r="P2266" s="1"/>
    </row>
    <row r="2267" spans="1:16">
      <c r="A2267" s="18"/>
      <c r="B2267" s="46"/>
      <c r="C2267" s="1">
        <v>1</v>
      </c>
      <c r="D2267" s="5">
        <v>0.97499999999999998</v>
      </c>
      <c r="E2267" s="5">
        <v>1.5</v>
      </c>
      <c r="F2267" s="1"/>
      <c r="G2267" s="4">
        <f t="shared" si="139"/>
        <v>1.4624999999999999</v>
      </c>
      <c r="H2267" s="1" t="s">
        <v>10</v>
      </c>
      <c r="I2267" s="9"/>
      <c r="J2267" s="46"/>
      <c r="K2267" s="1"/>
      <c r="L2267" s="5"/>
      <c r="M2267" s="5"/>
      <c r="N2267" s="5"/>
      <c r="O2267" s="4"/>
      <c r="P2267" s="1"/>
    </row>
    <row r="2268" spans="1:16">
      <c r="A2268" s="18"/>
      <c r="B2268" s="46"/>
      <c r="C2268" s="1"/>
      <c r="D2268" s="5"/>
      <c r="E2268" s="5"/>
      <c r="F2268" s="1"/>
      <c r="G2268" s="4"/>
      <c r="H2268" s="1"/>
      <c r="I2268" s="9"/>
      <c r="J2268" s="46"/>
      <c r="K2268" s="1"/>
      <c r="L2268" s="5"/>
      <c r="M2268" s="5"/>
      <c r="N2268" s="5"/>
      <c r="O2268" s="4"/>
      <c r="P2268" s="1"/>
    </row>
    <row r="2269" spans="1:16">
      <c r="A2269" s="18"/>
      <c r="B2269" s="46"/>
      <c r="C2269" s="1"/>
      <c r="D2269" s="5"/>
      <c r="E2269" s="5"/>
      <c r="F2269" s="34" t="s">
        <v>11</v>
      </c>
      <c r="G2269" s="53">
        <f>SUM(G2257:G2268)</f>
        <v>34.044874999999998</v>
      </c>
      <c r="H2269" s="50" t="s">
        <v>17</v>
      </c>
      <c r="I2269" s="9"/>
      <c r="J2269" s="46"/>
      <c r="K2269" s="1"/>
      <c r="L2269" s="5"/>
      <c r="M2269" s="5"/>
      <c r="N2269" s="5"/>
      <c r="O2269" s="4"/>
      <c r="P2269" s="1"/>
    </row>
    <row r="2270" spans="1:16">
      <c r="A2270" s="18"/>
      <c r="B2270" s="9"/>
      <c r="F2270" s="56" t="s">
        <v>13</v>
      </c>
      <c r="G2270" s="27">
        <f>ROUNDUP(G2269,0)</f>
        <v>35</v>
      </c>
      <c r="H2270" s="28" t="s">
        <v>17</v>
      </c>
      <c r="I2270" s="9"/>
      <c r="J2270" s="46"/>
      <c r="K2270" s="1"/>
      <c r="L2270" s="5"/>
      <c r="M2270" s="5"/>
      <c r="N2270" s="5"/>
      <c r="O2270" s="4"/>
      <c r="P2270" s="1"/>
    </row>
    <row r="2271" spans="1:16">
      <c r="A2271" s="18"/>
      <c r="B2271" s="9"/>
      <c r="F2271" s="1"/>
      <c r="G2271" s="33"/>
      <c r="H2271" s="24"/>
      <c r="I2271" s="9"/>
      <c r="J2271" s="46"/>
      <c r="K2271" s="1"/>
      <c r="L2271" s="5"/>
      <c r="M2271" s="5"/>
      <c r="N2271" s="5"/>
      <c r="O2271" s="4"/>
      <c r="P2271" s="1"/>
    </row>
    <row r="2272" spans="1:16">
      <c r="A2272" s="18"/>
      <c r="B2272" s="15" t="s">
        <v>57</v>
      </c>
      <c r="C2272" s="1"/>
      <c r="D2272" s="1"/>
      <c r="E2272" s="1"/>
      <c r="F2272" s="1"/>
      <c r="G2272" s="33"/>
      <c r="H2272" s="24"/>
      <c r="I2272" s="9"/>
      <c r="J2272" s="46"/>
      <c r="K2272" s="1"/>
      <c r="L2272" s="5"/>
      <c r="M2272" s="5"/>
      <c r="N2272" s="5"/>
      <c r="O2272" s="4"/>
      <c r="P2272" s="1"/>
    </row>
    <row r="2273" spans="1:9">
      <c r="A2273" s="18"/>
      <c r="B2273" s="46" t="s">
        <v>31</v>
      </c>
      <c r="C2273" s="1">
        <v>1</v>
      </c>
      <c r="D2273" s="5">
        <v>1.5</v>
      </c>
      <c r="E2273" s="5">
        <v>2.5</v>
      </c>
      <c r="F2273" s="1"/>
      <c r="G2273" s="4">
        <f>C2273*D2273*E2273</f>
        <v>3.75</v>
      </c>
      <c r="H2273" s="1" t="s">
        <v>17</v>
      </c>
      <c r="I2273" s="9"/>
    </row>
    <row r="2274" spans="1:9">
      <c r="A2274" s="18"/>
      <c r="B2274" s="46"/>
      <c r="C2274" s="1">
        <v>1</v>
      </c>
      <c r="D2274" s="5">
        <v>2.67</v>
      </c>
      <c r="E2274" s="5">
        <v>1.35</v>
      </c>
      <c r="F2274" s="1"/>
      <c r="G2274" s="4">
        <f t="shared" ref="G2274:G2279" si="140">C2274*D2274*E2274</f>
        <v>3.6045000000000003</v>
      </c>
      <c r="H2274" s="1" t="s">
        <v>10</v>
      </c>
      <c r="I2274" s="9"/>
    </row>
    <row r="2275" spans="1:9">
      <c r="A2275" s="18"/>
      <c r="B2275" s="46" t="s">
        <v>505</v>
      </c>
      <c r="C2275" s="1">
        <v>1</v>
      </c>
      <c r="D2275" s="5">
        <v>1.5</v>
      </c>
      <c r="E2275" s="5">
        <v>1.05</v>
      </c>
      <c r="F2275" s="1"/>
      <c r="G2275" s="4">
        <f t="shared" si="140"/>
        <v>1.5750000000000002</v>
      </c>
      <c r="H2275" s="1" t="s">
        <v>10</v>
      </c>
      <c r="I2275" s="9"/>
    </row>
    <row r="2276" spans="1:9">
      <c r="A2276" s="18"/>
      <c r="B2276" s="46" t="s">
        <v>504</v>
      </c>
      <c r="C2276" s="1">
        <v>1</v>
      </c>
      <c r="D2276" s="5">
        <v>2.48</v>
      </c>
      <c r="E2276" s="5">
        <v>1.35</v>
      </c>
      <c r="F2276" s="1"/>
      <c r="G2276" s="4">
        <f t="shared" si="140"/>
        <v>3.3480000000000003</v>
      </c>
      <c r="H2276" s="1" t="s">
        <v>10</v>
      </c>
      <c r="I2276" s="9"/>
    </row>
    <row r="2277" spans="1:9">
      <c r="A2277" s="18"/>
      <c r="B2277" s="46" t="s">
        <v>31</v>
      </c>
      <c r="C2277" s="1">
        <v>1</v>
      </c>
      <c r="D2277" s="5">
        <v>4.7699999999999996</v>
      </c>
      <c r="E2277" s="5">
        <v>4.7699999999999996</v>
      </c>
      <c r="F2277" s="1"/>
      <c r="G2277" s="4">
        <f t="shared" si="140"/>
        <v>22.752899999999997</v>
      </c>
      <c r="H2277" s="1" t="s">
        <v>10</v>
      </c>
      <c r="I2277" s="9"/>
    </row>
    <row r="2278" spans="1:9">
      <c r="A2278" s="18"/>
      <c r="B2278" s="46"/>
      <c r="C2278" s="1">
        <v>1</v>
      </c>
      <c r="D2278" s="5">
        <v>0.66</v>
      </c>
      <c r="E2278" s="5">
        <v>1.46</v>
      </c>
      <c r="F2278" s="1"/>
      <c r="G2278" s="4">
        <f t="shared" si="140"/>
        <v>0.96360000000000001</v>
      </c>
      <c r="H2278" s="1" t="s">
        <v>10</v>
      </c>
      <c r="I2278" s="9"/>
    </row>
    <row r="2279" spans="1:9">
      <c r="A2279" s="18"/>
      <c r="B2279" s="46" t="s">
        <v>31</v>
      </c>
      <c r="C2279" s="1">
        <v>1</v>
      </c>
      <c r="D2279" s="5">
        <v>4.8849999999999998</v>
      </c>
      <c r="E2279" s="5">
        <v>4.17</v>
      </c>
      <c r="F2279" s="1"/>
      <c r="G2279" s="4">
        <f t="shared" si="140"/>
        <v>20.370449999999998</v>
      </c>
      <c r="H2279" s="1" t="s">
        <v>10</v>
      </c>
      <c r="I2279" s="9"/>
    </row>
    <row r="2280" spans="1:9">
      <c r="A2280" s="18"/>
      <c r="B2280" s="46"/>
      <c r="C2280" s="1"/>
      <c r="D2280" s="5"/>
      <c r="E2280" s="5"/>
      <c r="F2280" s="1"/>
      <c r="G2280" s="4"/>
      <c r="H2280" s="1"/>
      <c r="I2280" s="9"/>
    </row>
    <row r="2281" spans="1:9">
      <c r="A2281" s="18"/>
      <c r="B2281" s="46"/>
      <c r="C2281" s="1"/>
      <c r="D2281" s="5"/>
      <c r="E2281" s="5"/>
      <c r="F2281" s="34" t="s">
        <v>11</v>
      </c>
      <c r="G2281" s="53">
        <f>SUM(G2273:G2280)</f>
        <v>56.364449999999998</v>
      </c>
      <c r="H2281" s="50" t="s">
        <v>17</v>
      </c>
      <c r="I2281" s="9"/>
    </row>
    <row r="2282" spans="1:9">
      <c r="A2282" s="18"/>
      <c r="B2282" s="9"/>
      <c r="F2282" s="56" t="s">
        <v>13</v>
      </c>
      <c r="G2282" s="27">
        <f>ROUNDUP(G2281,0)</f>
        <v>57</v>
      </c>
      <c r="H2282" s="28" t="s">
        <v>17</v>
      </c>
      <c r="I2282" s="9"/>
    </row>
    <row r="2283" spans="1:9">
      <c r="A2283" s="18"/>
      <c r="B2283" s="9"/>
      <c r="F2283" s="1"/>
      <c r="G2283" s="33"/>
      <c r="H2283" s="24"/>
      <c r="I2283" s="9"/>
    </row>
    <row r="2284" spans="1:9">
      <c r="A2284" s="18"/>
      <c r="B2284" s="15" t="s">
        <v>463</v>
      </c>
      <c r="C2284" s="1"/>
      <c r="D2284" s="1"/>
      <c r="E2284" s="1"/>
      <c r="F2284" s="1"/>
      <c r="G2284" s="33"/>
      <c r="H2284" s="24"/>
      <c r="I2284" s="9"/>
    </row>
    <row r="2285" spans="1:9">
      <c r="A2285" s="18"/>
      <c r="B2285" s="46" t="s">
        <v>627</v>
      </c>
      <c r="C2285" s="1">
        <v>2</v>
      </c>
      <c r="D2285" s="5">
        <v>5</v>
      </c>
      <c r="E2285" s="5">
        <v>2.27</v>
      </c>
      <c r="F2285" s="1"/>
      <c r="G2285" s="4">
        <f>C2285*D2285*E2285</f>
        <v>22.7</v>
      </c>
      <c r="H2285" s="1" t="s">
        <v>17</v>
      </c>
      <c r="I2285" s="9"/>
    </row>
    <row r="2286" spans="1:9">
      <c r="A2286" s="18"/>
      <c r="B2286" s="46" t="s">
        <v>610</v>
      </c>
      <c r="C2286" s="1">
        <v>2</v>
      </c>
      <c r="D2286" s="5">
        <v>5</v>
      </c>
      <c r="E2286" s="5">
        <v>2.27</v>
      </c>
      <c r="F2286" s="1"/>
      <c r="G2286" s="4">
        <f>C2286*D2286*E2286</f>
        <v>22.7</v>
      </c>
      <c r="H2286" s="1" t="s">
        <v>10</v>
      </c>
      <c r="I2286" s="9"/>
    </row>
    <row r="2287" spans="1:9">
      <c r="A2287" s="18"/>
      <c r="B2287" s="46"/>
      <c r="C2287" s="1"/>
      <c r="D2287" s="5"/>
      <c r="E2287" s="5"/>
      <c r="F2287" s="1"/>
      <c r="G2287" s="4"/>
      <c r="H2287" s="1"/>
      <c r="I2287" s="9"/>
    </row>
    <row r="2288" spans="1:9">
      <c r="A2288" s="18"/>
      <c r="B2288" s="9"/>
      <c r="F2288" s="34" t="s">
        <v>11</v>
      </c>
      <c r="G2288" s="53">
        <f>SUM(G2285:G2286)</f>
        <v>45.4</v>
      </c>
      <c r="H2288" s="50" t="s">
        <v>17</v>
      </c>
      <c r="I2288" s="9"/>
    </row>
    <row r="2289" spans="1:9">
      <c r="A2289" s="18"/>
      <c r="B2289" s="9"/>
      <c r="F2289" s="56" t="s">
        <v>13</v>
      </c>
      <c r="G2289" s="27">
        <f>ROUNDUP(G2288,0)</f>
        <v>46</v>
      </c>
      <c r="H2289" s="28" t="s">
        <v>17</v>
      </c>
      <c r="I2289" s="9"/>
    </row>
    <row r="2290" spans="1:9">
      <c r="A2290" s="18"/>
      <c r="B2290" s="9"/>
      <c r="F2290" s="1"/>
      <c r="G2290" s="33"/>
      <c r="H2290" s="24"/>
      <c r="I2290" s="9"/>
    </row>
    <row r="2291" spans="1:9">
      <c r="A2291" s="18">
        <f>A2243+1</f>
        <v>64</v>
      </c>
      <c r="B2291" s="9" t="s">
        <v>45</v>
      </c>
      <c r="C2291" s="1"/>
      <c r="D2291" s="1"/>
      <c r="E2291" s="1"/>
      <c r="F2291" s="1"/>
      <c r="G2291" s="33"/>
      <c r="H2291" s="24"/>
      <c r="I2291" s="9"/>
    </row>
    <row r="2292" spans="1:9">
      <c r="A2292" s="18"/>
      <c r="B2292" s="15" t="s">
        <v>56</v>
      </c>
      <c r="C2292" s="1"/>
      <c r="D2292" s="1"/>
      <c r="E2292" s="1"/>
      <c r="F2292" s="1"/>
      <c r="G2292" s="33"/>
      <c r="H2292" s="24"/>
      <c r="I2292" s="9"/>
    </row>
    <row r="2293" spans="1:9">
      <c r="A2293" s="18"/>
      <c r="B2293" s="74" t="str">
        <f>B2245</f>
        <v xml:space="preserve">G-Toilet </v>
      </c>
      <c r="C2293" s="1">
        <f>C2245</f>
        <v>1</v>
      </c>
      <c r="D2293" s="5">
        <f>(D2245+E2245)*2</f>
        <v>12.89</v>
      </c>
      <c r="F2293" s="5">
        <v>2.1</v>
      </c>
      <c r="G2293" s="4">
        <f>C2293*D2293*F2293</f>
        <v>27.069000000000003</v>
      </c>
      <c r="H2293" s="1" t="s">
        <v>17</v>
      </c>
      <c r="I2293" s="9"/>
    </row>
    <row r="2294" spans="1:9">
      <c r="A2294" s="18"/>
      <c r="B2294" s="74"/>
      <c r="C2294" s="1">
        <f t="shared" ref="C2294:C2299" si="141">C2246</f>
        <v>1</v>
      </c>
      <c r="D2294" s="5">
        <f t="shared" ref="D2294:D2299" si="142">(D2246+E2246)*2</f>
        <v>12.739999999999998</v>
      </c>
      <c r="F2294" s="5">
        <v>2.1</v>
      </c>
      <c r="G2294" s="4">
        <f t="shared" ref="G2294:G2299" si="143">C2294*D2294*F2294</f>
        <v>26.753999999999998</v>
      </c>
      <c r="H2294" s="1" t="s">
        <v>10</v>
      </c>
      <c r="I2294" s="9"/>
    </row>
    <row r="2295" spans="1:9">
      <c r="A2295" s="18"/>
      <c r="B2295" s="74" t="str">
        <f>B2247</f>
        <v xml:space="preserve">L-Toilet </v>
      </c>
      <c r="C2295" s="1">
        <f t="shared" si="141"/>
        <v>1</v>
      </c>
      <c r="D2295" s="5">
        <f t="shared" si="142"/>
        <v>9.5</v>
      </c>
      <c r="F2295" s="5">
        <v>2.1</v>
      </c>
      <c r="G2295" s="4">
        <f t="shared" si="143"/>
        <v>19.95</v>
      </c>
      <c r="H2295" s="1" t="s">
        <v>10</v>
      </c>
      <c r="I2295" s="9"/>
    </row>
    <row r="2296" spans="1:9">
      <c r="A2296" s="18"/>
      <c r="B2296" s="74"/>
      <c r="C2296" s="1">
        <f t="shared" si="141"/>
        <v>1</v>
      </c>
      <c r="D2296" s="5">
        <f t="shared" si="142"/>
        <v>8.0300000000000011</v>
      </c>
      <c r="F2296" s="5">
        <v>2.1</v>
      </c>
      <c r="G2296" s="4">
        <f t="shared" si="143"/>
        <v>16.863000000000003</v>
      </c>
      <c r="H2296" s="1" t="s">
        <v>10</v>
      </c>
      <c r="I2296" s="9"/>
    </row>
    <row r="2297" spans="1:9">
      <c r="A2297" s="18"/>
      <c r="B2297" s="74"/>
      <c r="C2297" s="1">
        <f t="shared" si="141"/>
        <v>1</v>
      </c>
      <c r="D2297" s="5">
        <f t="shared" si="142"/>
        <v>10.780000000000001</v>
      </c>
      <c r="F2297" s="5">
        <v>2.1</v>
      </c>
      <c r="G2297" s="4">
        <f t="shared" si="143"/>
        <v>22.638000000000002</v>
      </c>
      <c r="H2297" s="1" t="s">
        <v>10</v>
      </c>
      <c r="I2297" s="9"/>
    </row>
    <row r="2298" spans="1:9">
      <c r="A2298" s="18"/>
      <c r="B2298" s="74" t="str">
        <f>B2250</f>
        <v>Visitor's Toilet</v>
      </c>
      <c r="C2298" s="1">
        <f t="shared" si="141"/>
        <v>1</v>
      </c>
      <c r="D2298" s="5">
        <f t="shared" si="142"/>
        <v>7.82</v>
      </c>
      <c r="F2298" s="5">
        <v>2.1</v>
      </c>
      <c r="G2298" s="4">
        <f t="shared" si="143"/>
        <v>16.422000000000001</v>
      </c>
      <c r="H2298" s="1" t="s">
        <v>10</v>
      </c>
      <c r="I2298" s="9"/>
    </row>
    <row r="2299" spans="1:9">
      <c r="A2299" s="18"/>
      <c r="B2299" s="74"/>
      <c r="C2299" s="1">
        <f t="shared" si="141"/>
        <v>1</v>
      </c>
      <c r="D2299" s="5">
        <f t="shared" si="142"/>
        <v>5.3</v>
      </c>
      <c r="F2299" s="5">
        <v>2.1</v>
      </c>
      <c r="G2299" s="4">
        <f t="shared" si="143"/>
        <v>11.13</v>
      </c>
      <c r="H2299" s="1" t="s">
        <v>10</v>
      </c>
      <c r="I2299" s="9"/>
    </row>
    <row r="2300" spans="1:9">
      <c r="A2300" s="18"/>
      <c r="B2300" s="46"/>
      <c r="C2300" s="1"/>
      <c r="D2300" s="5"/>
      <c r="F2300" s="5"/>
      <c r="G2300" s="4"/>
      <c r="H2300" s="1"/>
      <c r="I2300" s="9"/>
    </row>
    <row r="2301" spans="1:9">
      <c r="A2301" s="18"/>
      <c r="B2301" s="46"/>
      <c r="C2301" s="1"/>
      <c r="D2301" s="5"/>
      <c r="F2301" s="34" t="s">
        <v>11</v>
      </c>
      <c r="G2301" s="53">
        <f>SUM(G2293:G2300)</f>
        <v>140.82599999999999</v>
      </c>
      <c r="H2301" s="50" t="s">
        <v>17</v>
      </c>
      <c r="I2301" s="9"/>
    </row>
    <row r="2302" spans="1:9">
      <c r="A2302" s="18"/>
      <c r="B2302" s="9"/>
      <c r="F2302" s="56" t="s">
        <v>13</v>
      </c>
      <c r="G2302" s="27">
        <f>ROUNDUP(G2301,0)</f>
        <v>141</v>
      </c>
      <c r="H2302" s="28" t="s">
        <v>17</v>
      </c>
      <c r="I2302" s="9"/>
    </row>
    <row r="2303" spans="1:9">
      <c r="A2303" s="18"/>
      <c r="B2303" s="9"/>
      <c r="F2303" s="1"/>
      <c r="G2303" s="33"/>
      <c r="H2303" s="24"/>
      <c r="I2303" s="9"/>
    </row>
    <row r="2304" spans="1:9">
      <c r="A2304" s="18"/>
      <c r="B2304" s="15" t="s">
        <v>445</v>
      </c>
      <c r="F2304" s="1"/>
      <c r="G2304" s="33"/>
      <c r="H2304" s="24"/>
      <c r="I2304" s="9"/>
    </row>
    <row r="2305" spans="1:9">
      <c r="A2305" s="18"/>
      <c r="B2305" s="74" t="str">
        <f>B2257</f>
        <v>Toilet</v>
      </c>
      <c r="C2305" s="1">
        <f>C2257</f>
        <v>1</v>
      </c>
      <c r="D2305" s="5">
        <f>(D2257+E2257)*2</f>
        <v>6.3000000000000007</v>
      </c>
      <c r="F2305" s="5">
        <v>2.1</v>
      </c>
      <c r="G2305" s="4">
        <f>C2305*D2305*F2305</f>
        <v>13.230000000000002</v>
      </c>
      <c r="H2305" s="1" t="s">
        <v>17</v>
      </c>
      <c r="I2305" s="9"/>
    </row>
    <row r="2306" spans="1:9">
      <c r="A2306" s="18"/>
      <c r="B2306" s="74" t="str">
        <f t="shared" ref="B2306:C2315" si="144">B2258</f>
        <v xml:space="preserve">G-Toilet </v>
      </c>
      <c r="C2306" s="1">
        <f t="shared" si="144"/>
        <v>1</v>
      </c>
      <c r="D2306" s="5">
        <f t="shared" ref="D2306:D2315" si="145">(D2258+E2258)*2</f>
        <v>8.0399999999999991</v>
      </c>
      <c r="F2306" s="5">
        <v>2.1</v>
      </c>
      <c r="G2306" s="4">
        <f t="shared" ref="G2306:G2315" si="146">C2306*D2306*F2306</f>
        <v>16.884</v>
      </c>
      <c r="H2306" s="1" t="s">
        <v>10</v>
      </c>
      <c r="I2306" s="9"/>
    </row>
    <row r="2307" spans="1:9">
      <c r="A2307" s="18"/>
      <c r="B2307" s="74" t="str">
        <f t="shared" si="144"/>
        <v xml:space="preserve">L-Toilet </v>
      </c>
      <c r="C2307" s="1">
        <f t="shared" si="144"/>
        <v>1</v>
      </c>
      <c r="D2307" s="5">
        <f t="shared" si="145"/>
        <v>6.3000000000000007</v>
      </c>
      <c r="F2307" s="5">
        <v>2.1</v>
      </c>
      <c r="G2307" s="4">
        <f t="shared" si="146"/>
        <v>13.230000000000002</v>
      </c>
      <c r="H2307" s="1" t="s">
        <v>10</v>
      </c>
      <c r="I2307" s="9"/>
    </row>
    <row r="2308" spans="1:9">
      <c r="A2308" s="18"/>
      <c r="B2308" s="74" t="str">
        <f t="shared" si="144"/>
        <v>Toilet</v>
      </c>
      <c r="C2308" s="1">
        <f t="shared" si="144"/>
        <v>1</v>
      </c>
      <c r="D2308" s="5">
        <f t="shared" si="145"/>
        <v>8</v>
      </c>
      <c r="F2308" s="5">
        <v>2.1</v>
      </c>
      <c r="G2308" s="4">
        <f t="shared" si="146"/>
        <v>16.8</v>
      </c>
      <c r="H2308" s="1" t="s">
        <v>10</v>
      </c>
      <c r="I2308" s="9"/>
    </row>
    <row r="2309" spans="1:9">
      <c r="A2309" s="18"/>
      <c r="B2309" s="74" t="str">
        <f t="shared" si="144"/>
        <v>WC</v>
      </c>
      <c r="C2309" s="1">
        <f t="shared" si="144"/>
        <v>1</v>
      </c>
      <c r="D2309" s="5">
        <f t="shared" si="145"/>
        <v>5.0999999999999996</v>
      </c>
      <c r="F2309" s="5">
        <v>2.1</v>
      </c>
      <c r="G2309" s="4">
        <f t="shared" si="146"/>
        <v>10.709999999999999</v>
      </c>
      <c r="H2309" s="1" t="s">
        <v>10</v>
      </c>
      <c r="I2309" s="9"/>
    </row>
    <row r="2310" spans="1:9">
      <c r="A2310" s="18"/>
      <c r="B2310" s="74" t="str">
        <f t="shared" si="144"/>
        <v>Bath</v>
      </c>
      <c r="C2310" s="1">
        <f t="shared" si="144"/>
        <v>1</v>
      </c>
      <c r="D2310" s="5">
        <f t="shared" si="145"/>
        <v>7.66</v>
      </c>
      <c r="F2310" s="5">
        <v>2.1</v>
      </c>
      <c r="G2310" s="4">
        <f t="shared" si="146"/>
        <v>16.086000000000002</v>
      </c>
      <c r="H2310" s="1" t="s">
        <v>10</v>
      </c>
      <c r="I2310" s="9"/>
    </row>
    <row r="2311" spans="1:9">
      <c r="A2311" s="18"/>
      <c r="B2311" s="74" t="str">
        <f t="shared" si="144"/>
        <v>Toilet</v>
      </c>
      <c r="C2311" s="1">
        <f t="shared" si="144"/>
        <v>1</v>
      </c>
      <c r="D2311" s="5">
        <f t="shared" si="145"/>
        <v>12.959999999999999</v>
      </c>
      <c r="F2311" s="5">
        <v>2.1</v>
      </c>
      <c r="G2311" s="4">
        <f t="shared" si="146"/>
        <v>27.215999999999998</v>
      </c>
      <c r="H2311" s="1" t="s">
        <v>10</v>
      </c>
      <c r="I2311" s="9"/>
    </row>
    <row r="2312" spans="1:9">
      <c r="A2312" s="18"/>
      <c r="B2312" s="74" t="str">
        <f t="shared" si="144"/>
        <v>Bath</v>
      </c>
      <c r="C2312" s="1">
        <f t="shared" si="144"/>
        <v>1</v>
      </c>
      <c r="D2312" s="5">
        <f t="shared" si="145"/>
        <v>6.1899999999999995</v>
      </c>
      <c r="F2312" s="5">
        <v>2.1</v>
      </c>
      <c r="G2312" s="4">
        <f t="shared" si="146"/>
        <v>12.998999999999999</v>
      </c>
      <c r="H2312" s="1" t="s">
        <v>10</v>
      </c>
      <c r="I2312" s="9"/>
    </row>
    <row r="2313" spans="1:9">
      <c r="A2313" s="18"/>
      <c r="B2313" s="74"/>
      <c r="C2313" s="1">
        <f t="shared" si="144"/>
        <v>1</v>
      </c>
      <c r="D2313" s="5">
        <f t="shared" si="145"/>
        <v>5.96</v>
      </c>
      <c r="F2313" s="5">
        <v>2.1</v>
      </c>
      <c r="G2313" s="4">
        <f t="shared" si="146"/>
        <v>12.516</v>
      </c>
      <c r="H2313" s="1" t="s">
        <v>10</v>
      </c>
      <c r="I2313" s="9"/>
    </row>
    <row r="2314" spans="1:9">
      <c r="A2314" s="18"/>
      <c r="B2314" s="74" t="str">
        <f t="shared" si="144"/>
        <v>WC</v>
      </c>
      <c r="C2314" s="1">
        <f t="shared" si="144"/>
        <v>1</v>
      </c>
      <c r="D2314" s="5">
        <f t="shared" si="145"/>
        <v>4.95</v>
      </c>
      <c r="F2314" s="5">
        <v>2.1</v>
      </c>
      <c r="G2314" s="4">
        <f t="shared" si="146"/>
        <v>10.395000000000001</v>
      </c>
      <c r="H2314" s="1" t="s">
        <v>10</v>
      </c>
      <c r="I2314" s="9"/>
    </row>
    <row r="2315" spans="1:9">
      <c r="A2315" s="18"/>
      <c r="B2315" s="46"/>
      <c r="C2315" s="1">
        <f t="shared" si="144"/>
        <v>1</v>
      </c>
      <c r="D2315" s="5">
        <f t="shared" si="145"/>
        <v>4.95</v>
      </c>
      <c r="F2315" s="5">
        <v>2.1</v>
      </c>
      <c r="G2315" s="4">
        <f t="shared" si="146"/>
        <v>10.395000000000001</v>
      </c>
      <c r="H2315" s="1" t="s">
        <v>10</v>
      </c>
      <c r="I2315" s="9"/>
    </row>
    <row r="2316" spans="1:9">
      <c r="A2316" s="18"/>
      <c r="B2316" s="46"/>
      <c r="C2316" s="1"/>
      <c r="D2316" s="5"/>
      <c r="F2316" s="5"/>
      <c r="G2316" s="4"/>
      <c r="H2316" s="1"/>
      <c r="I2316" s="9"/>
    </row>
    <row r="2317" spans="1:9">
      <c r="A2317" s="18"/>
      <c r="B2317" s="46"/>
      <c r="C2317" s="1"/>
      <c r="D2317" s="5"/>
      <c r="F2317" s="34" t="s">
        <v>11</v>
      </c>
      <c r="G2317" s="53">
        <f>SUM(G2305:G2316)</f>
        <v>160.46100000000001</v>
      </c>
      <c r="H2317" s="50" t="s">
        <v>17</v>
      </c>
      <c r="I2317" s="9"/>
    </row>
    <row r="2318" spans="1:9">
      <c r="A2318" s="18"/>
      <c r="B2318" s="9"/>
      <c r="F2318" s="56" t="s">
        <v>13</v>
      </c>
      <c r="G2318" s="27">
        <f>ROUNDUP(G2317,0)</f>
        <v>161</v>
      </c>
      <c r="H2318" s="28" t="s">
        <v>17</v>
      </c>
      <c r="I2318" s="9"/>
    </row>
    <row r="2319" spans="1:9">
      <c r="A2319" s="18"/>
      <c r="B2319" s="9"/>
      <c r="F2319" s="1"/>
      <c r="G2319" s="33"/>
      <c r="H2319" s="24"/>
      <c r="I2319" s="9"/>
    </row>
    <row r="2320" spans="1:9">
      <c r="A2320" s="18"/>
      <c r="B2320" s="15" t="s">
        <v>57</v>
      </c>
      <c r="F2320" s="1"/>
      <c r="G2320" s="33"/>
      <c r="H2320" s="24"/>
      <c r="I2320" s="9"/>
    </row>
    <row r="2321" spans="1:9">
      <c r="A2321" s="18"/>
      <c r="B2321" s="74" t="str">
        <f>B2273</f>
        <v>Toilet</v>
      </c>
      <c r="C2321" s="1">
        <f>C2273</f>
        <v>1</v>
      </c>
      <c r="D2321" s="5">
        <f>(D2273+E2273)*2</f>
        <v>8</v>
      </c>
      <c r="F2321" s="5">
        <v>2.1</v>
      </c>
      <c r="G2321" s="4">
        <f>C2321*D2321*F2321</f>
        <v>16.8</v>
      </c>
      <c r="H2321" s="1" t="s">
        <v>17</v>
      </c>
      <c r="I2321" s="9"/>
    </row>
    <row r="2322" spans="1:9">
      <c r="A2322" s="18"/>
      <c r="B2322" s="74"/>
      <c r="C2322" s="1">
        <f t="shared" ref="B2322:C2326" si="147">C2274</f>
        <v>1</v>
      </c>
      <c r="D2322" s="5">
        <f t="shared" ref="D2322:D2327" si="148">(D2274+E2274)*2</f>
        <v>8.0399999999999991</v>
      </c>
      <c r="F2322" s="5">
        <v>2.1</v>
      </c>
      <c r="G2322" s="4">
        <f t="shared" ref="G2322:G2327" si="149">C2322*D2322*F2322</f>
        <v>16.884</v>
      </c>
      <c r="H2322" s="1" t="s">
        <v>10</v>
      </c>
      <c r="I2322" s="9"/>
    </row>
    <row r="2323" spans="1:9">
      <c r="A2323" s="18"/>
      <c r="B2323" s="74" t="str">
        <f t="shared" si="147"/>
        <v>WC</v>
      </c>
      <c r="C2323" s="1">
        <f t="shared" si="147"/>
        <v>1</v>
      </c>
      <c r="D2323" s="5">
        <f t="shared" si="148"/>
        <v>5.0999999999999996</v>
      </c>
      <c r="F2323" s="5">
        <v>2.1</v>
      </c>
      <c r="G2323" s="4">
        <f t="shared" si="149"/>
        <v>10.709999999999999</v>
      </c>
      <c r="H2323" s="1" t="s">
        <v>10</v>
      </c>
      <c r="I2323" s="9"/>
    </row>
    <row r="2324" spans="1:9">
      <c r="A2324" s="18"/>
      <c r="B2324" s="74" t="str">
        <f t="shared" si="147"/>
        <v>Bath</v>
      </c>
      <c r="C2324" s="1">
        <f t="shared" si="147"/>
        <v>1</v>
      </c>
      <c r="D2324" s="5">
        <f t="shared" si="148"/>
        <v>7.66</v>
      </c>
      <c r="F2324" s="5">
        <v>2.1</v>
      </c>
      <c r="G2324" s="4">
        <f t="shared" si="149"/>
        <v>16.086000000000002</v>
      </c>
      <c r="H2324" s="1" t="s">
        <v>10</v>
      </c>
      <c r="I2324" s="9"/>
    </row>
    <row r="2325" spans="1:9">
      <c r="A2325" s="18"/>
      <c r="B2325" s="74" t="str">
        <f t="shared" si="147"/>
        <v>Toilet</v>
      </c>
      <c r="C2325" s="1">
        <f t="shared" si="147"/>
        <v>1</v>
      </c>
      <c r="D2325" s="5">
        <f t="shared" si="148"/>
        <v>19.079999999999998</v>
      </c>
      <c r="F2325" s="5">
        <v>2.1</v>
      </c>
      <c r="G2325" s="4">
        <f t="shared" si="149"/>
        <v>40.067999999999998</v>
      </c>
      <c r="H2325" s="1" t="s">
        <v>10</v>
      </c>
      <c r="I2325" s="9"/>
    </row>
    <row r="2326" spans="1:9">
      <c r="A2326" s="18"/>
      <c r="B2326" s="74"/>
      <c r="C2326" s="1">
        <f t="shared" si="147"/>
        <v>1</v>
      </c>
      <c r="D2326" s="5">
        <f t="shared" si="148"/>
        <v>4.24</v>
      </c>
      <c r="F2326" s="5">
        <v>2.1</v>
      </c>
      <c r="G2326" s="4">
        <f t="shared" si="149"/>
        <v>8.9040000000000017</v>
      </c>
      <c r="H2326" s="1" t="s">
        <v>10</v>
      </c>
      <c r="I2326" s="9"/>
    </row>
    <row r="2327" spans="1:9">
      <c r="A2327" s="18"/>
      <c r="B2327" s="74" t="str">
        <f>B2279</f>
        <v>Toilet</v>
      </c>
      <c r="C2327" s="1">
        <f>C2279</f>
        <v>1</v>
      </c>
      <c r="D2327" s="5">
        <f t="shared" si="148"/>
        <v>18.11</v>
      </c>
      <c r="F2327" s="5">
        <v>2.1</v>
      </c>
      <c r="G2327" s="4">
        <f t="shared" si="149"/>
        <v>38.030999999999999</v>
      </c>
      <c r="H2327" s="1" t="s">
        <v>10</v>
      </c>
      <c r="I2327" s="9"/>
    </row>
    <row r="2328" spans="1:9">
      <c r="A2328" s="18"/>
      <c r="B2328" s="46"/>
      <c r="C2328" s="1"/>
      <c r="D2328" s="5"/>
      <c r="F2328" s="5"/>
      <c r="G2328" s="4"/>
      <c r="H2328" s="1"/>
      <c r="I2328" s="9"/>
    </row>
    <row r="2329" spans="1:9">
      <c r="A2329" s="18"/>
      <c r="B2329" s="46"/>
      <c r="C2329" s="1"/>
      <c r="D2329" s="5"/>
      <c r="F2329" s="34" t="s">
        <v>11</v>
      </c>
      <c r="G2329" s="53">
        <f>SUM(G2321:G2328)</f>
        <v>147.483</v>
      </c>
      <c r="H2329" s="50" t="s">
        <v>17</v>
      </c>
      <c r="I2329" s="9"/>
    </row>
    <row r="2330" spans="1:9">
      <c r="A2330" s="18"/>
      <c r="B2330" s="9"/>
      <c r="F2330" s="56" t="s">
        <v>13</v>
      </c>
      <c r="G2330" s="27">
        <f>ROUNDUP(G2329,0)</f>
        <v>148</v>
      </c>
      <c r="H2330" s="28" t="s">
        <v>17</v>
      </c>
      <c r="I2330" s="9"/>
    </row>
    <row r="2331" spans="1:9">
      <c r="A2331" s="18"/>
      <c r="B2331" s="9"/>
      <c r="F2331" s="1"/>
      <c r="G2331" s="33"/>
      <c r="H2331" s="24"/>
      <c r="I2331" s="9"/>
    </row>
    <row r="2332" spans="1:9">
      <c r="A2332" s="18">
        <f>A2291+1</f>
        <v>65</v>
      </c>
      <c r="B2332" s="9" t="s">
        <v>612</v>
      </c>
      <c r="C2332" s="46"/>
      <c r="D2332" s="2"/>
      <c r="E2332" s="2"/>
      <c r="F2332" s="46"/>
      <c r="G2332" s="4"/>
      <c r="H2332" s="1"/>
      <c r="I2332" s="9"/>
    </row>
    <row r="2333" spans="1:9">
      <c r="B2333" s="15" t="s">
        <v>56</v>
      </c>
      <c r="C2333" s="46"/>
      <c r="D2333" s="2"/>
      <c r="E2333" s="2"/>
      <c r="F2333" s="46"/>
      <c r="G2333" s="4"/>
      <c r="H2333" s="1"/>
      <c r="I2333" s="9"/>
    </row>
    <row r="2334" spans="1:9">
      <c r="B2334" s="46" t="s">
        <v>470</v>
      </c>
      <c r="C2334" s="46">
        <v>1</v>
      </c>
      <c r="D2334" s="2">
        <v>4.7699999999999996</v>
      </c>
      <c r="E2334" s="2">
        <v>3.52</v>
      </c>
      <c r="F2334" s="46"/>
      <c r="G2334" s="4">
        <f>C2334*D2334*E2334</f>
        <v>16.790399999999998</v>
      </c>
      <c r="H2334" s="1" t="s">
        <v>17</v>
      </c>
      <c r="I2334" s="9"/>
    </row>
    <row r="2335" spans="1:9">
      <c r="B2335" s="46"/>
      <c r="C2335" s="46"/>
      <c r="D2335" s="2"/>
      <c r="E2335" s="2"/>
      <c r="F2335" s="46"/>
      <c r="G2335" s="4"/>
      <c r="H2335" s="1"/>
      <c r="I2335" s="9"/>
    </row>
    <row r="2336" spans="1:9">
      <c r="B2336" s="46"/>
      <c r="C2336" s="46"/>
      <c r="D2336" s="2"/>
      <c r="E2336" s="2"/>
      <c r="F2336" s="100" t="s">
        <v>11</v>
      </c>
      <c r="G2336" s="53">
        <f>SUM(G2334:G2335)</f>
        <v>16.790399999999998</v>
      </c>
      <c r="H2336" s="50" t="s">
        <v>17</v>
      </c>
      <c r="I2336" s="9"/>
    </row>
    <row r="2337" spans="1:9">
      <c r="B2337" s="9"/>
      <c r="C2337" s="46"/>
      <c r="D2337" s="2"/>
      <c r="E2337" s="2"/>
      <c r="F2337" s="75" t="s">
        <v>13</v>
      </c>
      <c r="G2337" s="27">
        <f>ROUNDUP(G2336,0)</f>
        <v>17</v>
      </c>
      <c r="H2337" s="28" t="s">
        <v>17</v>
      </c>
      <c r="I2337" s="9"/>
    </row>
    <row r="2338" spans="1:9">
      <c r="A2338" s="18"/>
      <c r="B2338" s="9"/>
      <c r="F2338" s="1"/>
      <c r="G2338" s="33"/>
      <c r="H2338" s="24"/>
      <c r="I2338" s="9"/>
    </row>
    <row r="2339" spans="1:9">
      <c r="A2339" s="18">
        <f>A2332+1</f>
        <v>66</v>
      </c>
      <c r="B2339" s="9" t="s">
        <v>613</v>
      </c>
      <c r="C2339" s="46"/>
      <c r="D2339" s="2"/>
      <c r="E2339" s="46"/>
      <c r="F2339" s="46"/>
      <c r="G2339" s="33"/>
      <c r="H2339" s="24"/>
      <c r="I2339" s="9"/>
    </row>
    <row r="2340" spans="1:9">
      <c r="B2340" s="15" t="s">
        <v>56</v>
      </c>
      <c r="C2340" s="74"/>
      <c r="D2340" s="74"/>
      <c r="E2340" s="74"/>
      <c r="F2340" s="74"/>
      <c r="H2340" s="31"/>
      <c r="I2340" s="9"/>
    </row>
    <row r="2341" spans="1:9">
      <c r="B2341" s="46" t="s">
        <v>614</v>
      </c>
      <c r="C2341" s="1">
        <v>1</v>
      </c>
      <c r="D2341" s="5">
        <f>5.075+28.5+4.77</f>
        <v>38.344999999999999</v>
      </c>
      <c r="E2341" s="2"/>
      <c r="F2341" s="46"/>
      <c r="G2341" s="4">
        <f t="shared" ref="G2341:G2347" si="150">C2341*D2341</f>
        <v>38.344999999999999</v>
      </c>
      <c r="H2341" s="1" t="s">
        <v>53</v>
      </c>
      <c r="I2341" s="9"/>
    </row>
    <row r="2342" spans="1:9">
      <c r="B2342" s="46" t="s">
        <v>475</v>
      </c>
      <c r="C2342" s="1">
        <v>1</v>
      </c>
      <c r="D2342" s="5">
        <f>2.77+2.575+2.575</f>
        <v>7.9200000000000008</v>
      </c>
      <c r="E2342" s="2"/>
      <c r="F2342" s="46"/>
      <c r="G2342" s="4">
        <f t="shared" si="150"/>
        <v>7.9200000000000008</v>
      </c>
      <c r="H2342" s="1" t="s">
        <v>10</v>
      </c>
      <c r="I2342" s="9"/>
    </row>
    <row r="2343" spans="1:9">
      <c r="B2343" s="46" t="s">
        <v>615</v>
      </c>
      <c r="C2343" s="1">
        <v>1</v>
      </c>
      <c r="D2343" s="5">
        <f>(25.77+4.695)*2</f>
        <v>60.93</v>
      </c>
      <c r="E2343" s="2"/>
      <c r="F2343" s="46"/>
      <c r="G2343" s="4">
        <f t="shared" si="150"/>
        <v>60.93</v>
      </c>
      <c r="H2343" s="1" t="s">
        <v>10</v>
      </c>
      <c r="I2343" s="9"/>
    </row>
    <row r="2344" spans="1:9">
      <c r="B2344" s="46" t="s">
        <v>616</v>
      </c>
      <c r="C2344" s="1">
        <v>1</v>
      </c>
      <c r="D2344" s="5">
        <f>26+3.5</f>
        <v>29.5</v>
      </c>
      <c r="E2344" s="2"/>
      <c r="F2344" s="46"/>
      <c r="G2344" s="4">
        <f t="shared" si="150"/>
        <v>29.5</v>
      </c>
      <c r="H2344" s="1" t="s">
        <v>10</v>
      </c>
      <c r="I2344" s="9"/>
    </row>
    <row r="2345" spans="1:9">
      <c r="A2345" s="18"/>
      <c r="B2345" s="46" t="s">
        <v>474</v>
      </c>
      <c r="C2345" s="1">
        <v>1</v>
      </c>
      <c r="D2345" s="5">
        <f>7.605+4.27+7.605+4.27</f>
        <v>23.75</v>
      </c>
      <c r="E2345" s="2"/>
      <c r="F2345" s="46"/>
      <c r="G2345" s="4">
        <f t="shared" si="150"/>
        <v>23.75</v>
      </c>
      <c r="H2345" s="1" t="s">
        <v>10</v>
      </c>
      <c r="I2345" s="9"/>
    </row>
    <row r="2346" spans="1:9">
      <c r="A2346" s="18"/>
      <c r="B2346" s="46" t="s">
        <v>618</v>
      </c>
      <c r="C2346" s="1">
        <v>1</v>
      </c>
      <c r="D2346" s="5">
        <f>4.77+8.27+4.77+8.27</f>
        <v>26.08</v>
      </c>
      <c r="E2346" s="2"/>
      <c r="F2346" s="46"/>
      <c r="G2346" s="4">
        <f t="shared" si="150"/>
        <v>26.08</v>
      </c>
      <c r="H2346" s="1" t="s">
        <v>10</v>
      </c>
      <c r="I2346" s="9"/>
    </row>
    <row r="2347" spans="1:9">
      <c r="A2347" s="18"/>
      <c r="B2347" s="46" t="s">
        <v>617</v>
      </c>
      <c r="C2347" s="1">
        <v>1</v>
      </c>
      <c r="D2347" s="5">
        <f>(8.27+4.7)*2</f>
        <v>25.939999999999998</v>
      </c>
      <c r="E2347" s="2"/>
      <c r="F2347" s="46"/>
      <c r="G2347" s="4">
        <f t="shared" si="150"/>
        <v>25.939999999999998</v>
      </c>
      <c r="H2347" s="1" t="s">
        <v>10</v>
      </c>
      <c r="I2347" s="9"/>
    </row>
    <row r="2348" spans="1:9">
      <c r="A2348" s="18"/>
      <c r="B2348" s="46" t="s">
        <v>480</v>
      </c>
      <c r="C2348" s="1">
        <v>1</v>
      </c>
      <c r="D2348" s="5">
        <f>(2.97+4.27)*2</f>
        <v>14.48</v>
      </c>
      <c r="E2348" s="2"/>
      <c r="F2348" s="46"/>
      <c r="G2348" s="4">
        <f>C2348*D2348</f>
        <v>14.48</v>
      </c>
      <c r="H2348" s="1" t="s">
        <v>10</v>
      </c>
      <c r="I2348" s="9"/>
    </row>
    <row r="2349" spans="1:9">
      <c r="A2349" s="18"/>
      <c r="B2349" s="46" t="s">
        <v>478</v>
      </c>
      <c r="C2349" s="1">
        <v>1</v>
      </c>
      <c r="D2349" s="5">
        <f>(2.44+2.9)*2</f>
        <v>10.68</v>
      </c>
      <c r="E2349" s="2"/>
      <c r="F2349" s="46"/>
      <c r="G2349" s="4">
        <f>C2349*D2349</f>
        <v>10.68</v>
      </c>
      <c r="H2349" s="1" t="s">
        <v>10</v>
      </c>
      <c r="I2349" s="9"/>
    </row>
    <row r="2350" spans="1:9">
      <c r="A2350" s="18"/>
      <c r="B2350" s="46"/>
      <c r="C2350" s="46"/>
      <c r="D2350" s="2"/>
      <c r="E2350" s="2"/>
      <c r="F2350" s="46"/>
      <c r="G2350" s="4"/>
      <c r="H2350" s="1"/>
      <c r="I2350" s="9"/>
    </row>
    <row r="2351" spans="1:9">
      <c r="A2351" s="18"/>
      <c r="B2351" s="46"/>
      <c r="C2351" s="46"/>
      <c r="D2351" s="2"/>
      <c r="E2351" s="2"/>
      <c r="F2351" s="100" t="s">
        <v>11</v>
      </c>
      <c r="G2351" s="53">
        <f>SUM(G2341:G2350)</f>
        <v>237.62499999999997</v>
      </c>
      <c r="H2351" s="50" t="s">
        <v>53</v>
      </c>
      <c r="I2351" s="9"/>
    </row>
    <row r="2352" spans="1:9">
      <c r="A2352" s="18"/>
      <c r="B2352" s="9"/>
      <c r="C2352" s="46"/>
      <c r="D2352" s="2"/>
      <c r="E2352" s="2"/>
      <c r="F2352" s="75" t="s">
        <v>13</v>
      </c>
      <c r="G2352" s="27">
        <f>ROUNDUP(G2351,0)</f>
        <v>238</v>
      </c>
      <c r="H2352" s="28" t="s">
        <v>53</v>
      </c>
      <c r="I2352" s="9"/>
    </row>
    <row r="2353" spans="1:9">
      <c r="A2353" s="18"/>
      <c r="B2353" s="9"/>
      <c r="F2353" s="1"/>
      <c r="G2353" s="33"/>
      <c r="H2353" s="24"/>
      <c r="I2353" s="9"/>
    </row>
    <row r="2354" spans="1:9">
      <c r="A2354" s="18">
        <f>A2339+1</f>
        <v>67</v>
      </c>
      <c r="B2354" s="6" t="s">
        <v>131</v>
      </c>
      <c r="C2354" s="1"/>
      <c r="D2354" s="5"/>
      <c r="E2354" s="5"/>
      <c r="F2354" s="5"/>
      <c r="G2354" s="4"/>
      <c r="H2354" s="1"/>
    </row>
    <row r="2355" spans="1:9">
      <c r="A2355" s="13"/>
      <c r="B2355" s="15" t="s">
        <v>56</v>
      </c>
      <c r="C2355" s="1">
        <v>20</v>
      </c>
      <c r="D2355" s="5"/>
      <c r="E2355" s="5"/>
      <c r="F2355" s="5">
        <v>5</v>
      </c>
      <c r="G2355" s="4">
        <f>C2355*F2355</f>
        <v>100</v>
      </c>
      <c r="H2355" s="1" t="s">
        <v>53</v>
      </c>
    </row>
    <row r="2356" spans="1:9">
      <c r="A2356" s="66"/>
      <c r="F2356" s="56" t="s">
        <v>13</v>
      </c>
      <c r="G2356" s="27">
        <f>ROUNDUP(G2355,0)</f>
        <v>100</v>
      </c>
      <c r="H2356" s="28" t="s">
        <v>53</v>
      </c>
    </row>
    <row r="2357" spans="1:9">
      <c r="A2357" s="18"/>
      <c r="B2357" s="8"/>
    </row>
    <row r="2358" spans="1:9">
      <c r="A2358" s="18"/>
      <c r="B2358" s="15" t="s">
        <v>445</v>
      </c>
      <c r="C2358" s="1">
        <v>20</v>
      </c>
      <c r="D2358" s="5"/>
      <c r="E2358" s="5"/>
      <c r="F2358" s="5">
        <v>4</v>
      </c>
      <c r="G2358" s="4">
        <f>C2358*F2358</f>
        <v>80</v>
      </c>
      <c r="H2358" s="1" t="s">
        <v>53</v>
      </c>
    </row>
    <row r="2359" spans="1:9">
      <c r="A2359" s="18"/>
      <c r="F2359" s="56" t="s">
        <v>13</v>
      </c>
      <c r="G2359" s="27">
        <f>ROUNDUP(G2358,0)</f>
        <v>80</v>
      </c>
      <c r="H2359" s="28" t="s">
        <v>53</v>
      </c>
    </row>
    <row r="2360" spans="1:9">
      <c r="A2360" s="18"/>
      <c r="F2360" s="1"/>
      <c r="G2360" s="33"/>
      <c r="H2360" s="24"/>
    </row>
    <row r="2361" spans="1:9">
      <c r="A2361" s="18"/>
      <c r="B2361" s="15" t="s">
        <v>57</v>
      </c>
      <c r="C2361" s="1">
        <v>20</v>
      </c>
      <c r="D2361" s="5"/>
      <c r="E2361" s="5"/>
      <c r="F2361" s="5">
        <v>4</v>
      </c>
      <c r="G2361" s="4">
        <f>C2361*F2361</f>
        <v>80</v>
      </c>
      <c r="H2361" s="1" t="s">
        <v>53</v>
      </c>
    </row>
    <row r="2362" spans="1:9">
      <c r="A2362" s="18"/>
      <c r="F2362" s="56" t="s">
        <v>13</v>
      </c>
      <c r="G2362" s="27">
        <f>ROUNDUP(G2361,0)</f>
        <v>80</v>
      </c>
      <c r="H2362" s="28" t="s">
        <v>53</v>
      </c>
    </row>
    <row r="2363" spans="1:9">
      <c r="A2363" s="18"/>
      <c r="B2363" s="8"/>
    </row>
    <row r="2364" spans="1:9">
      <c r="A2364" s="18">
        <f>A2354+1</f>
        <v>68</v>
      </c>
      <c r="B2364" s="9" t="s">
        <v>120</v>
      </c>
      <c r="C2364" s="1"/>
      <c r="D2364" s="5"/>
      <c r="E2364" s="1"/>
      <c r="F2364" s="5"/>
      <c r="G2364" s="4"/>
      <c r="H2364" s="1"/>
      <c r="I2364" s="9"/>
    </row>
    <row r="2365" spans="1:9">
      <c r="A2365" s="18"/>
      <c r="B2365" s="15" t="s">
        <v>56</v>
      </c>
      <c r="C2365" s="1"/>
      <c r="D2365" s="5"/>
      <c r="E2365" s="1"/>
      <c r="F2365" s="5"/>
      <c r="G2365" s="4"/>
      <c r="H2365" s="1"/>
      <c r="I2365" s="9"/>
    </row>
    <row r="2366" spans="1:9">
      <c r="A2366" s="29"/>
      <c r="B2366" s="46" t="s">
        <v>411</v>
      </c>
      <c r="C2366" s="1"/>
      <c r="D2366" s="5"/>
      <c r="E2366" s="5"/>
      <c r="F2366" s="1"/>
      <c r="G2366" s="4">
        <f>G1511</f>
        <v>1329.0160249999999</v>
      </c>
      <c r="H2366" s="1" t="s">
        <v>17</v>
      </c>
      <c r="I2366" s="9"/>
    </row>
    <row r="2367" spans="1:9">
      <c r="A2367" s="29"/>
      <c r="B2367" s="46" t="s">
        <v>25</v>
      </c>
      <c r="C2367" s="1"/>
      <c r="D2367" s="5"/>
      <c r="E2367" s="5"/>
      <c r="F2367" s="1"/>
      <c r="G2367" s="4">
        <f>G1667</f>
        <v>1945</v>
      </c>
      <c r="H2367" s="1" t="s">
        <v>10</v>
      </c>
      <c r="I2367" s="9"/>
    </row>
    <row r="2368" spans="1:9">
      <c r="A2368" s="54"/>
      <c r="B2368" s="46"/>
      <c r="C2368" s="1"/>
      <c r="D2368" s="5"/>
      <c r="E2368" s="1"/>
      <c r="F2368" s="5"/>
      <c r="G2368" s="4"/>
      <c r="H2368" s="1"/>
      <c r="I2368" s="9"/>
    </row>
    <row r="2369" spans="1:9">
      <c r="A2369" s="54"/>
      <c r="B2369" s="46"/>
      <c r="C2369" s="1"/>
      <c r="D2369" s="5"/>
      <c r="E2369" s="1"/>
      <c r="F2369" s="34" t="s">
        <v>11</v>
      </c>
      <c r="G2369" s="53">
        <f>SUM(G2366:G2368)</f>
        <v>3274.0160249999999</v>
      </c>
      <c r="H2369" s="50" t="s">
        <v>17</v>
      </c>
      <c r="I2369" s="9"/>
    </row>
    <row r="2370" spans="1:9">
      <c r="B2370" s="46"/>
      <c r="C2370" s="1"/>
      <c r="D2370" s="1"/>
      <c r="E2370" s="1"/>
      <c r="F2370" s="56" t="s">
        <v>13</v>
      </c>
      <c r="G2370" s="27">
        <f>ROUNDUP(G2369,0)</f>
        <v>3275</v>
      </c>
      <c r="H2370" s="28" t="s">
        <v>17</v>
      </c>
      <c r="I2370" s="9"/>
    </row>
    <row r="2371" spans="1:9">
      <c r="B2371" s="46"/>
      <c r="C2371" s="1"/>
      <c r="D2371" s="1"/>
      <c r="E2371" s="1"/>
      <c r="F2371" s="1"/>
      <c r="G2371" s="33"/>
      <c r="H2371" s="24"/>
      <c r="I2371" s="9"/>
    </row>
    <row r="2372" spans="1:9">
      <c r="B2372" s="15" t="s">
        <v>445</v>
      </c>
      <c r="C2372" s="1"/>
      <c r="D2372" s="5"/>
      <c r="E2372" s="1"/>
      <c r="F2372" s="5"/>
      <c r="G2372" s="4"/>
      <c r="H2372" s="1"/>
      <c r="I2372" s="9"/>
    </row>
    <row r="2373" spans="1:9">
      <c r="B2373" s="46" t="s">
        <v>411</v>
      </c>
      <c r="C2373" s="1"/>
      <c r="D2373" s="5"/>
      <c r="E2373" s="5"/>
      <c r="F2373" s="1"/>
      <c r="G2373" s="4">
        <f>G1569</f>
        <v>1085.7642999999998</v>
      </c>
      <c r="H2373" s="1" t="s">
        <v>17</v>
      </c>
      <c r="I2373" s="9"/>
    </row>
    <row r="2374" spans="1:9">
      <c r="B2374" s="46" t="s">
        <v>25</v>
      </c>
      <c r="C2374" s="1"/>
      <c r="D2374" s="5"/>
      <c r="E2374" s="5"/>
      <c r="F2374" s="1"/>
      <c r="G2374" s="4">
        <f>G1724</f>
        <v>1136.2522000000004</v>
      </c>
      <c r="H2374" s="1" t="s">
        <v>10</v>
      </c>
      <c r="I2374" s="9"/>
    </row>
    <row r="2375" spans="1:9">
      <c r="B2375" s="46"/>
      <c r="C2375" s="1"/>
      <c r="D2375" s="5"/>
      <c r="E2375" s="1"/>
      <c r="F2375" s="5"/>
      <c r="G2375" s="4"/>
      <c r="H2375" s="1"/>
      <c r="I2375" s="9"/>
    </row>
    <row r="2376" spans="1:9">
      <c r="B2376" s="46"/>
      <c r="C2376" s="1"/>
      <c r="D2376" s="5"/>
      <c r="E2376" s="1"/>
      <c r="F2376" s="34" t="s">
        <v>11</v>
      </c>
      <c r="G2376" s="53">
        <f>SUM(G2373:G2375)</f>
        <v>2222.0165000000002</v>
      </c>
      <c r="H2376" s="50" t="s">
        <v>17</v>
      </c>
      <c r="I2376" s="9"/>
    </row>
    <row r="2377" spans="1:9">
      <c r="B2377" s="46"/>
      <c r="C2377" s="1"/>
      <c r="D2377" s="1"/>
      <c r="E2377" s="1"/>
      <c r="F2377" s="56" t="s">
        <v>13</v>
      </c>
      <c r="G2377" s="27">
        <f>ROUNDUP(G2376,0)</f>
        <v>2223</v>
      </c>
      <c r="H2377" s="28" t="s">
        <v>17</v>
      </c>
      <c r="I2377" s="9"/>
    </row>
    <row r="2378" spans="1:9">
      <c r="B2378" s="46"/>
      <c r="C2378" s="1"/>
      <c r="D2378" s="1"/>
      <c r="E2378" s="1"/>
      <c r="F2378" s="1"/>
      <c r="G2378" s="33"/>
      <c r="H2378" s="24"/>
      <c r="I2378" s="9"/>
    </row>
    <row r="2379" spans="1:9">
      <c r="B2379" s="15" t="s">
        <v>57</v>
      </c>
      <c r="C2379" s="1"/>
      <c r="D2379" s="5"/>
      <c r="E2379" s="1"/>
      <c r="F2379" s="5"/>
      <c r="G2379" s="4"/>
      <c r="H2379" s="1"/>
      <c r="I2379" s="9"/>
    </row>
    <row r="2380" spans="1:9">
      <c r="B2380" s="46" t="s">
        <v>411</v>
      </c>
      <c r="C2380" s="1"/>
      <c r="D2380" s="5"/>
      <c r="E2380" s="5"/>
      <c r="F2380" s="1"/>
      <c r="G2380" s="4">
        <f>G1603</f>
        <v>494.68587499999995</v>
      </c>
      <c r="H2380" s="1" t="s">
        <v>17</v>
      </c>
      <c r="I2380" s="9"/>
    </row>
    <row r="2381" spans="1:9">
      <c r="B2381" s="46" t="s">
        <v>25</v>
      </c>
      <c r="C2381" s="1"/>
      <c r="D2381" s="5"/>
      <c r="E2381" s="5"/>
      <c r="F2381" s="1"/>
      <c r="G2381" s="4">
        <f>G1760</f>
        <v>755.79494874999978</v>
      </c>
      <c r="H2381" s="1" t="s">
        <v>10</v>
      </c>
      <c r="I2381" s="9"/>
    </row>
    <row r="2382" spans="1:9">
      <c r="B2382" s="46"/>
      <c r="C2382" s="1"/>
      <c r="D2382" s="5"/>
      <c r="E2382" s="1"/>
      <c r="F2382" s="5"/>
      <c r="G2382" s="4"/>
      <c r="H2382" s="1"/>
      <c r="I2382" s="9"/>
    </row>
    <row r="2383" spans="1:9">
      <c r="B2383" s="46"/>
      <c r="C2383" s="1"/>
      <c r="D2383" s="5"/>
      <c r="E2383" s="1"/>
      <c r="F2383" s="34" t="s">
        <v>11</v>
      </c>
      <c r="G2383" s="53">
        <f>SUM(G2380:G2382)</f>
        <v>1250.4808237499997</v>
      </c>
      <c r="H2383" s="50" t="s">
        <v>17</v>
      </c>
      <c r="I2383" s="9"/>
    </row>
    <row r="2384" spans="1:9">
      <c r="B2384" s="46"/>
      <c r="C2384" s="1"/>
      <c r="D2384" s="1"/>
      <c r="E2384" s="1"/>
      <c r="F2384" s="56" t="s">
        <v>13</v>
      </c>
      <c r="G2384" s="27">
        <f>ROUNDUP(G2383,0)</f>
        <v>1251</v>
      </c>
      <c r="H2384" s="28" t="s">
        <v>17</v>
      </c>
      <c r="I2384" s="9"/>
    </row>
    <row r="2385" spans="1:11">
      <c r="B2385" s="46"/>
      <c r="C2385" s="1"/>
      <c r="D2385" s="1"/>
      <c r="E2385" s="1"/>
      <c r="F2385" s="1"/>
      <c r="G2385" s="33"/>
      <c r="H2385" s="24"/>
      <c r="K2385" s="11"/>
    </row>
    <row r="2386" spans="1:11">
      <c r="B2386" s="46"/>
      <c r="C2386" s="1"/>
      <c r="D2386" s="1"/>
      <c r="E2386" s="1"/>
      <c r="F2386" s="1"/>
      <c r="G2386" s="33"/>
      <c r="H2386" s="24"/>
    </row>
    <row r="2387" spans="1:11">
      <c r="A2387" s="29">
        <f>A2364+1</f>
        <v>69</v>
      </c>
      <c r="B2387" s="8" t="s">
        <v>420</v>
      </c>
      <c r="C2387" s="74"/>
      <c r="D2387" s="74"/>
      <c r="E2387" s="74"/>
      <c r="F2387" s="74"/>
      <c r="H2387" s="31"/>
    </row>
    <row r="2388" spans="1:11">
      <c r="A2388" s="29"/>
      <c r="B2388" s="15" t="s">
        <v>56</v>
      </c>
      <c r="C2388" s="74"/>
      <c r="D2388" s="74"/>
      <c r="E2388" s="74"/>
      <c r="F2388" s="74"/>
      <c r="H2388" s="31"/>
    </row>
    <row r="2389" spans="1:11">
      <c r="A2389" s="29"/>
      <c r="B2389" s="46" t="s">
        <v>559</v>
      </c>
      <c r="C2389" s="46"/>
      <c r="D2389" s="2"/>
      <c r="E2389" s="2"/>
      <c r="F2389" s="46"/>
      <c r="G2389" s="33">
        <f>G2370</f>
        <v>3275</v>
      </c>
      <c r="H2389" s="24" t="s">
        <v>17</v>
      </c>
      <c r="I2389" s="67"/>
    </row>
    <row r="2390" spans="1:11">
      <c r="A2390" s="29"/>
      <c r="B2390" s="46"/>
      <c r="C2390" s="46"/>
      <c r="D2390" s="2"/>
      <c r="E2390" s="2"/>
      <c r="F2390" s="46"/>
      <c r="G2390" s="33"/>
      <c r="H2390" s="24"/>
      <c r="I2390" s="67"/>
    </row>
    <row r="2391" spans="1:11">
      <c r="A2391" s="29"/>
      <c r="B2391" s="15" t="s">
        <v>445</v>
      </c>
      <c r="C2391" s="46"/>
      <c r="D2391" s="2"/>
      <c r="E2391" s="2"/>
      <c r="F2391" s="46"/>
      <c r="G2391" s="33"/>
      <c r="H2391" s="24"/>
      <c r="I2391" s="67"/>
    </row>
    <row r="2392" spans="1:11">
      <c r="A2392" s="29"/>
      <c r="B2392" s="46" t="s">
        <v>559</v>
      </c>
      <c r="C2392" s="46"/>
      <c r="D2392" s="2"/>
      <c r="E2392" s="2"/>
      <c r="F2392" s="46"/>
      <c r="G2392" s="33">
        <f>G2377</f>
        <v>2223</v>
      </c>
      <c r="H2392" s="24" t="s">
        <v>17</v>
      </c>
      <c r="I2392" s="67"/>
    </row>
    <row r="2393" spans="1:11">
      <c r="B2393" s="46"/>
      <c r="C2393" s="1"/>
      <c r="D2393" s="1"/>
      <c r="E2393" s="1"/>
      <c r="F2393" s="1"/>
      <c r="G2393" s="33"/>
      <c r="H2393" s="24"/>
      <c r="I2393" s="67"/>
    </row>
    <row r="2394" spans="1:11">
      <c r="B2394" s="15" t="s">
        <v>57</v>
      </c>
      <c r="C2394" s="1"/>
      <c r="D2394" s="1"/>
      <c r="E2394" s="1"/>
      <c r="F2394" s="1"/>
      <c r="G2394" s="33"/>
      <c r="H2394" s="24"/>
      <c r="I2394" s="67"/>
    </row>
    <row r="2395" spans="1:11">
      <c r="B2395" s="46" t="s">
        <v>559</v>
      </c>
      <c r="C2395" s="46"/>
      <c r="D2395" s="2"/>
      <c r="E2395" s="2"/>
      <c r="F2395" s="46"/>
      <c r="G2395" s="33">
        <f>G2384</f>
        <v>1251</v>
      </c>
      <c r="H2395" s="24" t="s">
        <v>17</v>
      </c>
      <c r="I2395" s="67"/>
    </row>
    <row r="2396" spans="1:11">
      <c r="B2396" s="46"/>
      <c r="C2396" s="1"/>
      <c r="D2396" s="1"/>
      <c r="E2396" s="1"/>
      <c r="F2396" s="1"/>
      <c r="G2396" s="33"/>
      <c r="H2396" s="24"/>
    </row>
    <row r="2397" spans="1:11">
      <c r="A2397" s="18">
        <f>A2387+1</f>
        <v>70</v>
      </c>
      <c r="B2397" s="9" t="s">
        <v>46</v>
      </c>
      <c r="C2397" s="1"/>
      <c r="D2397" s="5"/>
      <c r="E2397" s="1"/>
      <c r="F2397" s="5"/>
      <c r="G2397" s="4"/>
      <c r="H2397" s="1"/>
    </row>
    <row r="2398" spans="1:11">
      <c r="A2398" s="29"/>
      <c r="B2398" s="15" t="s">
        <v>56</v>
      </c>
      <c r="C2398" s="1"/>
      <c r="D2398" s="5"/>
      <c r="E2398" s="5"/>
      <c r="F2398" s="1"/>
      <c r="G2398" s="4"/>
      <c r="H2398" s="1"/>
    </row>
    <row r="2399" spans="1:11">
      <c r="A2399" s="29"/>
      <c r="B2399" s="46" t="s">
        <v>64</v>
      </c>
      <c r="C2399" s="1"/>
      <c r="D2399" s="5"/>
      <c r="E2399" s="5"/>
      <c r="F2399" s="1"/>
      <c r="G2399" s="4">
        <f>G1826</f>
        <v>804.19400000000007</v>
      </c>
      <c r="H2399" s="1" t="s">
        <v>17</v>
      </c>
    </row>
    <row r="2400" spans="1:11">
      <c r="A2400" s="29"/>
      <c r="B2400" s="46" t="s">
        <v>121</v>
      </c>
      <c r="C2400" s="1">
        <v>2</v>
      </c>
      <c r="D2400" s="5">
        <f>G877</f>
        <v>45</v>
      </c>
      <c r="E2400" s="5"/>
      <c r="F2400" s="1"/>
      <c r="G2400" s="4">
        <f>C2400*D2400</f>
        <v>90</v>
      </c>
      <c r="H2400" s="1" t="s">
        <v>10</v>
      </c>
    </row>
    <row r="2401" spans="1:8">
      <c r="A2401" s="54"/>
      <c r="B2401" s="46"/>
      <c r="C2401" s="1"/>
      <c r="D2401" s="5"/>
      <c r="E2401" s="1"/>
      <c r="F2401" s="5"/>
      <c r="G2401" s="4"/>
      <c r="H2401" s="1"/>
    </row>
    <row r="2402" spans="1:8">
      <c r="A2402" s="54"/>
      <c r="B2402" s="46"/>
      <c r="C2402" s="1"/>
      <c r="D2402" s="5"/>
      <c r="E2402" s="1"/>
      <c r="F2402" s="34" t="s">
        <v>11</v>
      </c>
      <c r="G2402" s="53">
        <f>SUM(G2398:G2401)</f>
        <v>894.19400000000007</v>
      </c>
      <c r="H2402" s="50" t="s">
        <v>17</v>
      </c>
    </row>
    <row r="2403" spans="1:8">
      <c r="B2403" s="46"/>
      <c r="C2403" s="1"/>
      <c r="D2403" s="1"/>
      <c r="E2403" s="1"/>
      <c r="F2403" s="56" t="s">
        <v>13</v>
      </c>
      <c r="G2403" s="27">
        <f>ROUNDUP(G2402,0)</f>
        <v>895</v>
      </c>
      <c r="H2403" s="28" t="s">
        <v>17</v>
      </c>
    </row>
    <row r="2404" spans="1:8">
      <c r="B2404" s="9"/>
      <c r="C2404" s="1"/>
      <c r="D2404" s="5"/>
      <c r="E2404" s="5"/>
      <c r="F2404" s="5"/>
      <c r="G2404" s="4"/>
      <c r="H2404" s="1"/>
    </row>
    <row r="2405" spans="1:8">
      <c r="B2405" s="15" t="s">
        <v>445</v>
      </c>
      <c r="C2405" s="1"/>
      <c r="D2405" s="5"/>
      <c r="E2405" s="5"/>
      <c r="F2405" s="1"/>
      <c r="G2405" s="4"/>
      <c r="H2405" s="1"/>
    </row>
    <row r="2406" spans="1:8">
      <c r="B2406" s="46" t="s">
        <v>64</v>
      </c>
      <c r="C2406" s="1"/>
      <c r="D2406" s="5"/>
      <c r="E2406" s="5"/>
      <c r="F2406" s="1"/>
      <c r="G2406" s="4">
        <f>G1832</f>
        <v>493.84</v>
      </c>
      <c r="H2406" s="1" t="s">
        <v>17</v>
      </c>
    </row>
    <row r="2407" spans="1:8">
      <c r="B2407" s="46" t="s">
        <v>121</v>
      </c>
      <c r="C2407" s="1">
        <v>2</v>
      </c>
      <c r="D2407" s="5">
        <f>G885</f>
        <v>16</v>
      </c>
      <c r="E2407" s="5"/>
      <c r="F2407" s="1"/>
      <c r="G2407" s="4">
        <f>C2407*D2407</f>
        <v>32</v>
      </c>
      <c r="H2407" s="1" t="s">
        <v>10</v>
      </c>
    </row>
    <row r="2408" spans="1:8">
      <c r="B2408" s="46"/>
      <c r="C2408" s="1"/>
      <c r="D2408" s="5"/>
      <c r="E2408" s="1"/>
      <c r="F2408" s="5"/>
      <c r="G2408" s="4"/>
      <c r="H2408" s="1"/>
    </row>
    <row r="2409" spans="1:8">
      <c r="B2409" s="46"/>
      <c r="C2409" s="1"/>
      <c r="D2409" s="5"/>
      <c r="E2409" s="1"/>
      <c r="F2409" s="34" t="s">
        <v>11</v>
      </c>
      <c r="G2409" s="53">
        <f>SUM(G2406:G2408)</f>
        <v>525.83999999999992</v>
      </c>
      <c r="H2409" s="50" t="s">
        <v>17</v>
      </c>
    </row>
    <row r="2410" spans="1:8">
      <c r="B2410" s="46"/>
      <c r="C2410" s="1"/>
      <c r="D2410" s="1"/>
      <c r="E2410" s="1"/>
      <c r="F2410" s="56" t="s">
        <v>13</v>
      </c>
      <c r="G2410" s="27">
        <f>ROUNDUP(G2409,0)</f>
        <v>526</v>
      </c>
      <c r="H2410" s="28" t="s">
        <v>17</v>
      </c>
    </row>
    <row r="2411" spans="1:8">
      <c r="B2411" s="46"/>
      <c r="C2411" s="1"/>
      <c r="D2411" s="1"/>
      <c r="E2411" s="1"/>
      <c r="F2411" s="1"/>
      <c r="G2411" s="33"/>
      <c r="H2411" s="24"/>
    </row>
    <row r="2412" spans="1:8">
      <c r="B2412" s="15" t="s">
        <v>57</v>
      </c>
      <c r="C2412" s="1"/>
      <c r="D2412" s="5"/>
      <c r="E2412" s="5"/>
      <c r="F2412" s="1"/>
      <c r="G2412" s="4"/>
      <c r="H2412" s="1"/>
    </row>
    <row r="2413" spans="1:8">
      <c r="B2413" s="46" t="s">
        <v>64</v>
      </c>
      <c r="C2413" s="1"/>
      <c r="D2413" s="5"/>
      <c r="E2413" s="5"/>
      <c r="F2413" s="1"/>
      <c r="G2413" s="4">
        <f>G1841</f>
        <v>556.54875000000004</v>
      </c>
      <c r="H2413" s="1" t="s">
        <v>17</v>
      </c>
    </row>
    <row r="2414" spans="1:8">
      <c r="B2414" s="46" t="s">
        <v>121</v>
      </c>
      <c r="C2414" s="1">
        <v>2</v>
      </c>
      <c r="D2414" s="5">
        <f>G894</f>
        <v>16</v>
      </c>
      <c r="E2414" s="5"/>
      <c r="F2414" s="1"/>
      <c r="G2414" s="4">
        <f>C2414*D2414</f>
        <v>32</v>
      </c>
      <c r="H2414" s="1" t="s">
        <v>10</v>
      </c>
    </row>
    <row r="2415" spans="1:8">
      <c r="B2415" s="46"/>
      <c r="C2415" s="1"/>
      <c r="D2415" s="5"/>
      <c r="E2415" s="1"/>
      <c r="F2415" s="5"/>
      <c r="G2415" s="4"/>
      <c r="H2415" s="1"/>
    </row>
    <row r="2416" spans="1:8">
      <c r="B2416" s="46"/>
      <c r="C2416" s="1"/>
      <c r="D2416" s="5"/>
      <c r="E2416" s="1"/>
      <c r="F2416" s="34" t="s">
        <v>11</v>
      </c>
      <c r="G2416" s="53">
        <f>SUM(G2413:G2415)</f>
        <v>588.54875000000004</v>
      </c>
      <c r="H2416" s="50" t="s">
        <v>17</v>
      </c>
    </row>
    <row r="2417" spans="1:8">
      <c r="B2417" s="46"/>
      <c r="C2417" s="1"/>
      <c r="D2417" s="1"/>
      <c r="E2417" s="1"/>
      <c r="F2417" s="56" t="s">
        <v>13</v>
      </c>
      <c r="G2417" s="27">
        <f>ROUNDUP(G2416,0)</f>
        <v>589</v>
      </c>
      <c r="H2417" s="28" t="s">
        <v>17</v>
      </c>
    </row>
    <row r="2418" spans="1:8">
      <c r="C2418" s="31"/>
      <c r="D2418" s="31"/>
      <c r="E2418" s="31"/>
      <c r="F2418" s="31"/>
      <c r="H2418" s="31"/>
    </row>
    <row r="2420" spans="1:8">
      <c r="A2420" s="18">
        <f>A2397+1</f>
        <v>71</v>
      </c>
      <c r="B2420" s="6" t="s">
        <v>122</v>
      </c>
      <c r="C2420" s="1">
        <v>1</v>
      </c>
      <c r="D2420" s="5">
        <v>985</v>
      </c>
      <c r="E2420" s="5" t="s">
        <v>17</v>
      </c>
      <c r="F2420" s="5"/>
      <c r="G2420" s="4">
        <f>C2420*D2420</f>
        <v>985</v>
      </c>
      <c r="H2420" s="1" t="s">
        <v>17</v>
      </c>
    </row>
    <row r="2421" spans="1:8">
      <c r="A2421" s="18"/>
      <c r="B2421" s="11"/>
      <c r="C2421" s="1"/>
      <c r="D2421" s="5"/>
      <c r="E2421" s="5"/>
      <c r="F2421" s="56" t="s">
        <v>13</v>
      </c>
      <c r="G2421" s="27">
        <f>ROUNDUP(G2420,0)</f>
        <v>985</v>
      </c>
      <c r="H2421" s="28" t="s">
        <v>17</v>
      </c>
    </row>
    <row r="2423" spans="1:8">
      <c r="A2423" s="18">
        <f>A2420+1</f>
        <v>72</v>
      </c>
      <c r="B2423" s="9" t="s">
        <v>308</v>
      </c>
    </row>
    <row r="2424" spans="1:8">
      <c r="A2424" s="18"/>
      <c r="B2424" s="15" t="s">
        <v>56</v>
      </c>
    </row>
    <row r="2425" spans="1:8">
      <c r="B2425" s="46" t="s">
        <v>639</v>
      </c>
      <c r="C2425" s="1">
        <v>1</v>
      </c>
      <c r="D2425" s="5">
        <v>26</v>
      </c>
      <c r="E2425" s="5">
        <v>5.5</v>
      </c>
      <c r="G2425" s="4">
        <f>C2425*D2425*E2425</f>
        <v>143</v>
      </c>
      <c r="H2425" s="1" t="s">
        <v>17</v>
      </c>
    </row>
    <row r="2426" spans="1:8">
      <c r="B2426" s="9"/>
      <c r="C2426" s="1"/>
      <c r="D2426" s="5"/>
      <c r="E2426" s="31"/>
      <c r="F2426" s="2" t="s">
        <v>555</v>
      </c>
      <c r="G2426" s="4">
        <f>G2425*25</f>
        <v>3575</v>
      </c>
      <c r="H2426" s="1" t="s">
        <v>24</v>
      </c>
    </row>
    <row r="2427" spans="1:8">
      <c r="B2427" s="46" t="s">
        <v>556</v>
      </c>
      <c r="C2427" s="1"/>
      <c r="D2427" s="5"/>
      <c r="E2427" s="31"/>
      <c r="F2427" s="2"/>
      <c r="G2427" s="4">
        <v>2500</v>
      </c>
      <c r="H2427" s="1"/>
    </row>
    <row r="2428" spans="1:8">
      <c r="B2428" s="9"/>
      <c r="C2428" s="1"/>
      <c r="D2428" s="5"/>
      <c r="E2428" s="31"/>
      <c r="F2428" s="2"/>
      <c r="G2428" s="4"/>
      <c r="H2428" s="1"/>
    </row>
    <row r="2429" spans="1:8">
      <c r="B2429" s="9"/>
      <c r="C2429" s="1"/>
      <c r="D2429" s="5"/>
      <c r="E2429" s="31"/>
      <c r="F2429" s="34" t="s">
        <v>11</v>
      </c>
      <c r="G2429" s="53">
        <f>SUM(G2425:G2428)</f>
        <v>6218</v>
      </c>
      <c r="H2429" s="50" t="s">
        <v>24</v>
      </c>
    </row>
    <row r="2430" spans="1:8">
      <c r="B2430" s="46"/>
      <c r="C2430" s="1"/>
      <c r="D2430" s="5"/>
      <c r="E2430" s="5"/>
      <c r="F2430" s="56" t="s">
        <v>13</v>
      </c>
      <c r="G2430" s="27">
        <f>ROUNDUP(G2429,0)</f>
        <v>6218</v>
      </c>
      <c r="H2430" s="28" t="s">
        <v>24</v>
      </c>
    </row>
    <row r="2431" spans="1:8">
      <c r="B2431" s="46"/>
      <c r="C2431" s="1"/>
      <c r="D2431" s="5"/>
      <c r="E2431" s="5"/>
      <c r="F2431" s="1"/>
      <c r="G2431" s="33"/>
      <c r="H2431" s="24"/>
    </row>
    <row r="2432" spans="1:8">
      <c r="A2432" s="18">
        <f>A2423+1</f>
        <v>73</v>
      </c>
      <c r="B2432" s="9" t="s">
        <v>387</v>
      </c>
      <c r="C2432" s="1"/>
      <c r="D2432" s="5"/>
      <c r="E2432" s="5"/>
      <c r="F2432" s="1"/>
      <c r="G2432" s="33"/>
      <c r="H2432" s="24"/>
    </row>
    <row r="2433" spans="1:8">
      <c r="B2433" s="15" t="s">
        <v>56</v>
      </c>
      <c r="C2433" s="9"/>
      <c r="D2433" s="9"/>
      <c r="E2433" s="9"/>
      <c r="F2433" s="68"/>
      <c r="G2433" s="72"/>
      <c r="H2433" s="73"/>
    </row>
    <row r="2434" spans="1:8">
      <c r="C2434" s="1">
        <v>1</v>
      </c>
      <c r="D2434" s="5">
        <v>26</v>
      </c>
      <c r="E2434" s="5">
        <v>5.5</v>
      </c>
      <c r="F2434" s="5"/>
      <c r="G2434" s="4">
        <f>C2434*D2434*E2434</f>
        <v>143</v>
      </c>
      <c r="H2434" s="1" t="s">
        <v>17</v>
      </c>
    </row>
    <row r="2435" spans="1:8">
      <c r="C2435" s="9"/>
      <c r="D2435" s="9"/>
      <c r="E2435" s="9"/>
      <c r="F2435" s="56" t="s">
        <v>13</v>
      </c>
      <c r="G2435" s="27">
        <f>ROUNDUP(G2434,0)</f>
        <v>143</v>
      </c>
      <c r="H2435" s="28" t="s">
        <v>17</v>
      </c>
    </row>
    <row r="2436" spans="1:8">
      <c r="A2436" s="18">
        <f>A2432+1</f>
        <v>74</v>
      </c>
      <c r="B2436" s="9" t="s">
        <v>281</v>
      </c>
      <c r="C2436" s="9"/>
      <c r="D2436" s="9"/>
      <c r="E2436" s="9"/>
      <c r="F2436" s="1"/>
      <c r="G2436" s="33"/>
      <c r="H2436" s="24"/>
    </row>
    <row r="2437" spans="1:8">
      <c r="B2437" s="15" t="s">
        <v>56</v>
      </c>
      <c r="C2437" s="1">
        <v>1</v>
      </c>
      <c r="D2437" s="5">
        <v>26</v>
      </c>
      <c r="E2437" s="5"/>
      <c r="G2437" s="33">
        <f>C2437*D2437</f>
        <v>26</v>
      </c>
      <c r="H2437" s="24" t="s">
        <v>49</v>
      </c>
    </row>
    <row r="2439" spans="1:8">
      <c r="A2439" s="29">
        <f>A2436+1</f>
        <v>75</v>
      </c>
      <c r="B2439" s="9" t="s">
        <v>580</v>
      </c>
      <c r="C2439" s="46"/>
      <c r="D2439" s="2"/>
      <c r="E2439" s="2"/>
      <c r="F2439" s="5"/>
      <c r="G2439" s="4"/>
      <c r="H2439" s="1"/>
    </row>
    <row r="2440" spans="1:8">
      <c r="A2440" s="29"/>
      <c r="B2440" s="15" t="s">
        <v>56</v>
      </c>
      <c r="C2440" s="46"/>
      <c r="D2440" s="2"/>
      <c r="E2440" s="2"/>
      <c r="F2440" s="5"/>
      <c r="G2440" s="4"/>
      <c r="H2440" s="1"/>
    </row>
    <row r="2441" spans="1:8">
      <c r="A2441" s="29"/>
      <c r="C2441" s="1">
        <v>1</v>
      </c>
      <c r="D2441" s="5">
        <v>1000</v>
      </c>
      <c r="E2441" s="2">
        <v>0.2</v>
      </c>
      <c r="F2441" s="5"/>
      <c r="G2441" s="4">
        <f>C2441*D2441*E2441</f>
        <v>200</v>
      </c>
      <c r="H2441" s="1" t="s">
        <v>47</v>
      </c>
    </row>
    <row r="2442" spans="1:8">
      <c r="A2442" s="29"/>
      <c r="B2442" s="46"/>
      <c r="C2442" s="1"/>
      <c r="D2442" s="5"/>
      <c r="E2442" s="2"/>
      <c r="F2442" s="56" t="s">
        <v>13</v>
      </c>
      <c r="G2442" s="27">
        <f>ROUNDUP(G2441,0)</f>
        <v>200</v>
      </c>
      <c r="H2442" s="28" t="s">
        <v>17</v>
      </c>
    </row>
    <row r="2443" spans="1:8">
      <c r="A2443" s="29"/>
      <c r="B2443" s="46"/>
      <c r="C2443" s="1"/>
      <c r="D2443" s="5"/>
      <c r="E2443" s="2"/>
      <c r="F2443" s="1"/>
      <c r="G2443" s="33"/>
      <c r="H2443" s="24"/>
    </row>
    <row r="2444" spans="1:8">
      <c r="A2444" s="29"/>
      <c r="B2444" s="15" t="s">
        <v>445</v>
      </c>
      <c r="C2444" s="1">
        <v>1</v>
      </c>
      <c r="D2444" s="5">
        <v>1000</v>
      </c>
      <c r="E2444" s="2">
        <v>0.2</v>
      </c>
      <c r="F2444" s="5"/>
      <c r="G2444" s="4">
        <f>C2444*D2444*E2444</f>
        <v>200</v>
      </c>
      <c r="H2444" s="1" t="s">
        <v>47</v>
      </c>
    </row>
    <row r="2445" spans="1:8">
      <c r="A2445" s="29"/>
      <c r="B2445" s="46"/>
      <c r="C2445" s="1"/>
      <c r="D2445" s="5"/>
      <c r="E2445" s="2"/>
      <c r="F2445" s="56" t="s">
        <v>13</v>
      </c>
      <c r="G2445" s="27">
        <f>ROUNDUP(G2444,0)</f>
        <v>200</v>
      </c>
      <c r="H2445" s="28" t="s">
        <v>17</v>
      </c>
    </row>
    <row r="2447" spans="1:8">
      <c r="B2447" s="15" t="s">
        <v>57</v>
      </c>
      <c r="C2447" s="1">
        <v>1</v>
      </c>
      <c r="D2447" s="5">
        <v>1000</v>
      </c>
      <c r="E2447" s="2">
        <v>0.2</v>
      </c>
      <c r="F2447" s="5"/>
      <c r="G2447" s="4">
        <f>C2447*D2447*E2447</f>
        <v>200</v>
      </c>
      <c r="H2447" s="1" t="s">
        <v>47</v>
      </c>
    </row>
    <row r="2448" spans="1:8">
      <c r="B2448" s="46"/>
      <c r="C2448" s="1"/>
      <c r="D2448" s="5"/>
      <c r="E2448" s="2"/>
      <c r="F2448" s="56" t="s">
        <v>13</v>
      </c>
      <c r="G2448" s="27">
        <f>ROUNDUP(G2447,0)</f>
        <v>200</v>
      </c>
      <c r="H2448" s="28" t="s">
        <v>17</v>
      </c>
    </row>
    <row r="2450" spans="1:8">
      <c r="A2450" s="29">
        <f>A2439+1</f>
        <v>76</v>
      </c>
      <c r="B2450" s="9" t="s">
        <v>764</v>
      </c>
      <c r="C2450" s="46">
        <v>2</v>
      </c>
      <c r="D2450" s="2" t="s">
        <v>763</v>
      </c>
      <c r="E2450" s="46">
        <v>15</v>
      </c>
      <c r="F2450" s="2" t="s">
        <v>24</v>
      </c>
      <c r="G2450" s="4">
        <f>C2450*E2450</f>
        <v>30</v>
      </c>
      <c r="H2450" s="1" t="s">
        <v>19</v>
      </c>
    </row>
    <row r="2452" spans="1:8">
      <c r="A2452" s="29">
        <f>A2450+1</f>
        <v>77</v>
      </c>
      <c r="B2452" s="6" t="s">
        <v>619</v>
      </c>
    </row>
    <row r="2453" spans="1:8">
      <c r="B2453" s="15" t="s">
        <v>445</v>
      </c>
      <c r="C2453" s="1">
        <v>1</v>
      </c>
      <c r="D2453" s="5">
        <f>265+58</f>
        <v>323</v>
      </c>
      <c r="E2453" s="5" t="s">
        <v>17</v>
      </c>
      <c r="F2453" s="5"/>
      <c r="G2453" s="4">
        <f>C2453*D2453</f>
        <v>323</v>
      </c>
      <c r="H2453" s="1" t="s">
        <v>17</v>
      </c>
    </row>
    <row r="2454" spans="1:8">
      <c r="A2454" s="18"/>
      <c r="B2454" s="11"/>
      <c r="C2454" s="1"/>
      <c r="D2454" s="5"/>
      <c r="E2454" s="5"/>
      <c r="F2454" s="56" t="s">
        <v>13</v>
      </c>
      <c r="G2454" s="27">
        <f>ROUNDUP(G2453,0)</f>
        <v>323</v>
      </c>
      <c r="H2454" s="28" t="s">
        <v>17</v>
      </c>
    </row>
    <row r="2456" spans="1:8">
      <c r="B2456" s="15" t="s">
        <v>57</v>
      </c>
      <c r="C2456" s="1">
        <v>1</v>
      </c>
      <c r="D2456" s="5">
        <f>236+318</f>
        <v>554</v>
      </c>
      <c r="E2456" s="5" t="s">
        <v>17</v>
      </c>
      <c r="F2456" s="5"/>
      <c r="G2456" s="4">
        <f>C2456*D2456</f>
        <v>554</v>
      </c>
      <c r="H2456" s="1" t="s">
        <v>17</v>
      </c>
    </row>
    <row r="2457" spans="1:8">
      <c r="B2457" s="11"/>
      <c r="C2457" s="1"/>
      <c r="D2457" s="5"/>
      <c r="E2457" s="5"/>
      <c r="F2457" s="56" t="s">
        <v>13</v>
      </c>
      <c r="G2457" s="27">
        <f>ROUNDUP(G2456,0)</f>
        <v>554</v>
      </c>
      <c r="H2457" s="28" t="s">
        <v>17</v>
      </c>
    </row>
    <row r="2459" spans="1:8">
      <c r="A2459" s="29">
        <f>A2452+1</f>
        <v>78</v>
      </c>
      <c r="B2459" s="9" t="s">
        <v>620</v>
      </c>
      <c r="C2459" s="46"/>
      <c r="D2459" s="2"/>
      <c r="E2459" s="2"/>
      <c r="F2459" s="2"/>
      <c r="G2459" s="4"/>
      <c r="H2459" s="1"/>
    </row>
    <row r="2460" spans="1:8">
      <c r="B2460" s="15" t="s">
        <v>445</v>
      </c>
      <c r="C2460" s="46"/>
      <c r="D2460" s="2"/>
      <c r="E2460" s="2"/>
      <c r="F2460" s="2"/>
      <c r="G2460" s="4"/>
      <c r="H2460" s="1"/>
    </row>
    <row r="2461" spans="1:8">
      <c r="C2461" s="1">
        <v>1</v>
      </c>
      <c r="D2461" s="5">
        <v>4.3</v>
      </c>
      <c r="E2461" s="5">
        <v>2.85</v>
      </c>
      <c r="F2461" s="5"/>
      <c r="G2461" s="4">
        <f>C2461*D2461*E2461</f>
        <v>12.254999999999999</v>
      </c>
      <c r="H2461" s="1" t="s">
        <v>17</v>
      </c>
    </row>
    <row r="2462" spans="1:8">
      <c r="C2462" s="1">
        <v>1</v>
      </c>
      <c r="D2462" s="5">
        <v>1.5</v>
      </c>
      <c r="E2462" s="5">
        <v>2.5</v>
      </c>
      <c r="F2462" s="5"/>
      <c r="G2462" s="4">
        <f t="shared" ref="G2462:G2465" si="151">C2462*D2462*E2462</f>
        <v>3.75</v>
      </c>
      <c r="H2462" s="1" t="s">
        <v>10</v>
      </c>
    </row>
    <row r="2463" spans="1:8">
      <c r="C2463" s="1">
        <v>1</v>
      </c>
      <c r="D2463" s="5">
        <v>2.5</v>
      </c>
      <c r="E2463" s="5">
        <v>2.5</v>
      </c>
      <c r="F2463" s="5"/>
      <c r="G2463" s="4">
        <f t="shared" si="151"/>
        <v>6.25</v>
      </c>
      <c r="H2463" s="1" t="s">
        <v>10</v>
      </c>
    </row>
    <row r="2464" spans="1:8">
      <c r="C2464" s="1">
        <v>1</v>
      </c>
      <c r="D2464" s="5">
        <v>4.7</v>
      </c>
      <c r="E2464" s="5">
        <v>4.7</v>
      </c>
      <c r="F2464" s="5"/>
      <c r="G2464" s="4">
        <f t="shared" si="151"/>
        <v>22.090000000000003</v>
      </c>
      <c r="H2464" s="1" t="s">
        <v>10</v>
      </c>
    </row>
    <row r="2465" spans="1:8">
      <c r="C2465" s="1">
        <v>1</v>
      </c>
      <c r="D2465" s="5">
        <v>3.62</v>
      </c>
      <c r="E2465" s="5">
        <v>1.35</v>
      </c>
      <c r="F2465" s="5"/>
      <c r="G2465" s="4">
        <f t="shared" si="151"/>
        <v>4.8870000000000005</v>
      </c>
      <c r="H2465" s="1" t="s">
        <v>10</v>
      </c>
    </row>
    <row r="2466" spans="1:8">
      <c r="C2466" s="1"/>
      <c r="D2466" s="5"/>
      <c r="E2466" s="5"/>
      <c r="F2466" s="5"/>
      <c r="G2466" s="4"/>
      <c r="H2466" s="1"/>
    </row>
    <row r="2467" spans="1:8">
      <c r="C2467" s="46"/>
      <c r="D2467" s="2"/>
      <c r="E2467" s="2"/>
      <c r="F2467" s="100" t="s">
        <v>11</v>
      </c>
      <c r="G2467" s="53">
        <f>SUM(G2461:G2466)</f>
        <v>49.231999999999999</v>
      </c>
      <c r="H2467" s="50" t="s">
        <v>17</v>
      </c>
    </row>
    <row r="2468" spans="1:8">
      <c r="C2468" s="46"/>
      <c r="D2468" s="2"/>
      <c r="E2468" s="2"/>
      <c r="F2468" s="75" t="s">
        <v>13</v>
      </c>
      <c r="G2468" s="27">
        <f>ROUNDUP(G2467,0)</f>
        <v>50</v>
      </c>
      <c r="H2468" s="28" t="s">
        <v>17</v>
      </c>
    </row>
    <row r="2470" spans="1:8">
      <c r="B2470" s="15" t="s">
        <v>57</v>
      </c>
    </row>
    <row r="2471" spans="1:8">
      <c r="C2471" s="1">
        <v>1</v>
      </c>
      <c r="D2471" s="5">
        <v>10.305</v>
      </c>
      <c r="E2471" s="5">
        <v>4.7699999999999996</v>
      </c>
      <c r="F2471" s="5"/>
      <c r="G2471" s="4">
        <f t="shared" ref="G2471:G2473" si="152">C2471*D2471*E2471</f>
        <v>49.154849999999996</v>
      </c>
      <c r="H2471" s="1" t="s">
        <v>17</v>
      </c>
    </row>
    <row r="2472" spans="1:8">
      <c r="C2472" s="1">
        <v>1</v>
      </c>
      <c r="D2472" s="5">
        <v>2.5</v>
      </c>
      <c r="E2472" s="5">
        <v>2.5</v>
      </c>
      <c r="F2472" s="5"/>
      <c r="G2472" s="4">
        <f t="shared" si="152"/>
        <v>6.25</v>
      </c>
      <c r="H2472" s="1" t="s">
        <v>10</v>
      </c>
    </row>
    <row r="2473" spans="1:8">
      <c r="C2473" s="1">
        <v>1</v>
      </c>
      <c r="D2473" s="5">
        <v>1.5</v>
      </c>
      <c r="E2473" s="5">
        <v>2.5</v>
      </c>
      <c r="F2473" s="5"/>
      <c r="G2473" s="4">
        <f t="shared" si="152"/>
        <v>3.75</v>
      </c>
      <c r="H2473" s="1" t="s">
        <v>10</v>
      </c>
    </row>
    <row r="2474" spans="1:8">
      <c r="C2474" s="1"/>
      <c r="D2474" s="5"/>
      <c r="E2474" s="5"/>
      <c r="F2474" s="5"/>
      <c r="G2474" s="4"/>
      <c r="H2474" s="1"/>
    </row>
    <row r="2475" spans="1:8">
      <c r="C2475" s="46"/>
      <c r="D2475" s="2"/>
      <c r="E2475" s="2"/>
      <c r="F2475" s="100" t="s">
        <v>11</v>
      </c>
      <c r="G2475" s="53">
        <f>SUM(G2471:G2474)</f>
        <v>59.154849999999996</v>
      </c>
      <c r="H2475" s="50" t="s">
        <v>17</v>
      </c>
    </row>
    <row r="2476" spans="1:8">
      <c r="C2476" s="46"/>
      <c r="D2476" s="2"/>
      <c r="E2476" s="2"/>
      <c r="F2476" s="75" t="s">
        <v>13</v>
      </c>
      <c r="G2476" s="27">
        <f>ROUNDUP(G2475,0)</f>
        <v>60</v>
      </c>
      <c r="H2476" s="28" t="s">
        <v>17</v>
      </c>
    </row>
    <row r="2479" spans="1:8">
      <c r="A2479" s="29">
        <f>A2459+1</f>
        <v>79</v>
      </c>
      <c r="B2479" s="9" t="s">
        <v>621</v>
      </c>
      <c r="C2479" s="74"/>
      <c r="D2479" s="74"/>
      <c r="E2479" s="74"/>
      <c r="F2479" s="74"/>
      <c r="G2479" s="33">
        <v>1000</v>
      </c>
      <c r="H2479" s="24" t="s">
        <v>401</v>
      </c>
    </row>
    <row r="2481" spans="1:8">
      <c r="A2481" s="29">
        <f>A2479+1</f>
        <v>80</v>
      </c>
      <c r="B2481" s="9" t="s">
        <v>622</v>
      </c>
      <c r="C2481" s="74"/>
      <c r="D2481" s="74"/>
      <c r="E2481" s="74"/>
      <c r="F2481" s="74"/>
      <c r="H2481" s="31"/>
    </row>
    <row r="2482" spans="1:8">
      <c r="B2482" s="15" t="s">
        <v>57</v>
      </c>
      <c r="C2482" s="74"/>
      <c r="D2482" s="74"/>
      <c r="E2482" s="74"/>
      <c r="F2482" s="74"/>
      <c r="H2482" s="1"/>
    </row>
    <row r="2483" spans="1:8">
      <c r="B2483" s="46" t="s">
        <v>136</v>
      </c>
      <c r="C2483" s="1">
        <v>1</v>
      </c>
      <c r="D2483" s="5">
        <v>4.97</v>
      </c>
      <c r="E2483" s="5">
        <v>5.4749999999999996</v>
      </c>
      <c r="F2483" s="71"/>
      <c r="G2483" s="4">
        <f t="shared" ref="G2483:G2496" si="153">C2483*D2483*E2483</f>
        <v>27.210749999999997</v>
      </c>
      <c r="H2483" s="1" t="s">
        <v>17</v>
      </c>
    </row>
    <row r="2484" spans="1:8">
      <c r="B2484" s="46" t="s">
        <v>491</v>
      </c>
      <c r="C2484" s="1">
        <v>1</v>
      </c>
      <c r="D2484" s="5">
        <v>4.97</v>
      </c>
      <c r="E2484" s="5">
        <v>3.0350000000000001</v>
      </c>
      <c r="F2484" s="71"/>
      <c r="G2484" s="4">
        <f t="shared" si="153"/>
        <v>15.08395</v>
      </c>
      <c r="H2484" s="1" t="s">
        <v>10</v>
      </c>
    </row>
    <row r="2485" spans="1:8">
      <c r="B2485" s="46" t="s">
        <v>499</v>
      </c>
      <c r="C2485" s="1">
        <v>1</v>
      </c>
      <c r="D2485" s="5">
        <v>22.035</v>
      </c>
      <c r="E2485" s="5">
        <v>4.2699999999999996</v>
      </c>
      <c r="F2485" s="71"/>
      <c r="G2485" s="4">
        <f t="shared" si="153"/>
        <v>94.089449999999985</v>
      </c>
      <c r="H2485" s="1" t="s">
        <v>10</v>
      </c>
    </row>
    <row r="2486" spans="1:8">
      <c r="B2486" s="46"/>
      <c r="C2486" s="1">
        <v>1</v>
      </c>
      <c r="D2486" s="5">
        <v>5.7050000000000001</v>
      </c>
      <c r="E2486" s="5">
        <v>4.875</v>
      </c>
      <c r="F2486" s="71"/>
      <c r="G2486" s="4">
        <f t="shared" si="153"/>
        <v>27.811875000000001</v>
      </c>
      <c r="H2486" s="1" t="s">
        <v>10</v>
      </c>
    </row>
    <row r="2487" spans="1:8">
      <c r="B2487" s="46" t="s">
        <v>494</v>
      </c>
      <c r="C2487" s="1">
        <v>1</v>
      </c>
      <c r="D2487" s="5">
        <v>3.43</v>
      </c>
      <c r="E2487" s="5">
        <v>5.5919999999999996</v>
      </c>
      <c r="F2487" s="71"/>
      <c r="G2487" s="4">
        <f t="shared" si="153"/>
        <v>19.18056</v>
      </c>
      <c r="H2487" s="1" t="s">
        <v>10</v>
      </c>
    </row>
    <row r="2488" spans="1:8">
      <c r="B2488" s="46" t="s">
        <v>623</v>
      </c>
      <c r="C2488" s="1">
        <v>1</v>
      </c>
      <c r="D2488" s="5">
        <v>4.8849999999999998</v>
      </c>
      <c r="E2488" s="5">
        <v>7.61</v>
      </c>
      <c r="F2488" s="71"/>
      <c r="G2488" s="4">
        <f t="shared" si="153"/>
        <v>37.174849999999999</v>
      </c>
      <c r="H2488" s="1" t="s">
        <v>10</v>
      </c>
    </row>
    <row r="2489" spans="1:8">
      <c r="B2489" s="46"/>
      <c r="C2489" s="1">
        <v>1</v>
      </c>
      <c r="D2489" s="5">
        <v>4.8849999999999998</v>
      </c>
      <c r="E2489" s="5">
        <v>2.25</v>
      </c>
      <c r="F2489" s="71"/>
      <c r="G2489" s="4">
        <f t="shared" si="153"/>
        <v>10.991249999999999</v>
      </c>
      <c r="H2489" s="1" t="s">
        <v>10</v>
      </c>
    </row>
    <row r="2490" spans="1:8">
      <c r="B2490" s="46" t="s">
        <v>501</v>
      </c>
      <c r="C2490" s="1">
        <v>1</v>
      </c>
      <c r="D2490" s="5">
        <v>3.1549999999999998</v>
      </c>
      <c r="E2490" s="5">
        <v>5.23</v>
      </c>
      <c r="F2490" s="71"/>
      <c r="G2490" s="4">
        <f t="shared" si="153"/>
        <v>16.50065</v>
      </c>
      <c r="H2490" s="1" t="s">
        <v>10</v>
      </c>
    </row>
    <row r="2491" spans="1:8">
      <c r="B2491" s="46" t="s">
        <v>503</v>
      </c>
      <c r="C2491" s="1">
        <v>1</v>
      </c>
      <c r="D2491" s="5">
        <v>4.8849999999999998</v>
      </c>
      <c r="E2491" s="5">
        <v>4.2149999999999999</v>
      </c>
      <c r="F2491" s="71"/>
      <c r="G2491" s="4">
        <f t="shared" si="153"/>
        <v>20.590274999999998</v>
      </c>
      <c r="H2491" s="1" t="s">
        <v>10</v>
      </c>
    </row>
    <row r="2492" spans="1:8">
      <c r="B2492" s="46"/>
      <c r="C2492" s="1">
        <v>1</v>
      </c>
      <c r="D2492" s="5">
        <v>2.29</v>
      </c>
      <c r="E2492" s="5">
        <v>2.5150000000000001</v>
      </c>
      <c r="F2492" s="71"/>
      <c r="G2492" s="4">
        <f t="shared" si="153"/>
        <v>5.7593500000000004</v>
      </c>
      <c r="H2492" s="1" t="s">
        <v>10</v>
      </c>
    </row>
    <row r="2493" spans="1:8">
      <c r="B2493" s="46" t="s">
        <v>509</v>
      </c>
      <c r="C2493" s="1">
        <v>1</v>
      </c>
      <c r="D2493" s="5">
        <v>7.8550000000000004</v>
      </c>
      <c r="E2493" s="5">
        <v>5.4850000000000003</v>
      </c>
      <c r="F2493" s="71"/>
      <c r="G2493" s="4">
        <f t="shared" si="153"/>
        <v>43.084675000000004</v>
      </c>
      <c r="H2493" s="1" t="s">
        <v>10</v>
      </c>
    </row>
    <row r="2494" spans="1:8">
      <c r="B2494" s="46" t="s">
        <v>136</v>
      </c>
      <c r="C2494" s="1">
        <v>1</v>
      </c>
      <c r="D2494" s="5">
        <v>4.7699999999999996</v>
      </c>
      <c r="E2494" s="5">
        <v>4.63</v>
      </c>
      <c r="F2494" s="71"/>
      <c r="G2494" s="4">
        <f t="shared" si="153"/>
        <v>22.085099999999997</v>
      </c>
      <c r="H2494" s="1" t="s">
        <v>10</v>
      </c>
    </row>
    <row r="2495" spans="1:8">
      <c r="B2495" s="46"/>
      <c r="C2495" s="1">
        <v>1</v>
      </c>
      <c r="D2495" s="5">
        <v>1.8</v>
      </c>
      <c r="E2495" s="5">
        <v>5</v>
      </c>
      <c r="F2495" s="71"/>
      <c r="G2495" s="4">
        <f t="shared" si="153"/>
        <v>9</v>
      </c>
      <c r="H2495" s="1" t="s">
        <v>10</v>
      </c>
    </row>
    <row r="2496" spans="1:8">
      <c r="B2496" s="46" t="s">
        <v>508</v>
      </c>
      <c r="C2496" s="1">
        <v>1</v>
      </c>
      <c r="D2496" s="5">
        <v>4.7699999999999996</v>
      </c>
      <c r="E2496" s="5">
        <v>4.7699999999999996</v>
      </c>
      <c r="F2496" s="71"/>
      <c r="G2496" s="4">
        <f t="shared" si="153"/>
        <v>22.752899999999997</v>
      </c>
      <c r="H2496" s="1" t="s">
        <v>10</v>
      </c>
    </row>
    <row r="2497" spans="1:8">
      <c r="B2497" s="46"/>
      <c r="C2497" s="1"/>
      <c r="D2497" s="5"/>
      <c r="E2497" s="5"/>
      <c r="F2497" s="71"/>
      <c r="G2497" s="4"/>
      <c r="H2497" s="1"/>
    </row>
    <row r="2498" spans="1:8">
      <c r="B2498" s="46"/>
      <c r="C2498" s="46"/>
      <c r="D2498" s="2"/>
      <c r="E2498" s="2"/>
      <c r="F2498" s="100" t="s">
        <v>11</v>
      </c>
      <c r="G2498" s="53">
        <f>SUBTOTAL(9,G2483:G2497)</f>
        <v>371.31563499999999</v>
      </c>
      <c r="H2498" s="50" t="s">
        <v>17</v>
      </c>
    </row>
    <row r="2499" spans="1:8">
      <c r="F2499" s="75" t="s">
        <v>13</v>
      </c>
      <c r="G2499" s="27">
        <f>ROUNDUP(G2498,0)</f>
        <v>372</v>
      </c>
      <c r="H2499" s="28" t="s">
        <v>17</v>
      </c>
    </row>
    <row r="2501" spans="1:8">
      <c r="A2501" s="29">
        <f>A2481+1</f>
        <v>81</v>
      </c>
      <c r="B2501" s="9" t="s">
        <v>719</v>
      </c>
    </row>
    <row r="2502" spans="1:8">
      <c r="A2502" s="29"/>
      <c r="B2502" s="15" t="s">
        <v>463</v>
      </c>
    </row>
    <row r="2503" spans="1:8">
      <c r="B2503" s="46" t="s">
        <v>720</v>
      </c>
      <c r="C2503" s="1">
        <v>3</v>
      </c>
      <c r="D2503" s="5">
        <f>2*(4.94+2.77)</f>
        <v>15.420000000000002</v>
      </c>
      <c r="E2503" s="5"/>
      <c r="F2503" s="71"/>
      <c r="G2503" s="4">
        <f>C2503*D2503</f>
        <v>46.260000000000005</v>
      </c>
      <c r="H2503" s="1" t="s">
        <v>49</v>
      </c>
    </row>
    <row r="2504" spans="1:8">
      <c r="C2504" s="1"/>
      <c r="D2504" s="5"/>
      <c r="E2504" s="5"/>
      <c r="F2504" s="75" t="s">
        <v>13</v>
      </c>
      <c r="G2504" s="27">
        <f>ROUNDUP(G2503,0)</f>
        <v>47</v>
      </c>
      <c r="H2504" s="28" t="s">
        <v>49</v>
      </c>
    </row>
  </sheetData>
  <phoneticPr fontId="4" type="noConversion"/>
  <printOptions gridLines="1"/>
  <pageMargins left="1.25" right="0.25" top="0.5" bottom="0.75" header="0.5" footer="0.5"/>
  <pageSetup paperSize="9" firstPageNumber="5" orientation="portrait" useFirstPageNumber="1"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6:J100"/>
  <sheetViews>
    <sheetView zoomScaleNormal="100" workbookViewId="0">
      <selection activeCell="F20" sqref="F20"/>
    </sheetView>
  </sheetViews>
  <sheetFormatPr defaultColWidth="9.109375" defaultRowHeight="13.8"/>
  <cols>
    <col min="1" max="1" width="6.6640625" style="13" customWidth="1"/>
    <col min="2" max="2" width="63.6640625" style="275" customWidth="1"/>
    <col min="3" max="3" width="8.109375" style="11" customWidth="1"/>
    <col min="4" max="4" width="5.88671875" style="14" customWidth="1"/>
    <col min="5" max="16384" width="9.109375" style="11"/>
  </cols>
  <sheetData>
    <row r="6" spans="1:5">
      <c r="E6" s="14"/>
    </row>
    <row r="7" spans="1:5" s="9" customFormat="1">
      <c r="B7" s="7" t="s">
        <v>590</v>
      </c>
    </row>
    <row r="8" spans="1:5" s="9" customFormat="1">
      <c r="B8" s="7" t="s">
        <v>586</v>
      </c>
    </row>
    <row r="9" spans="1:5" s="31" customFormat="1">
      <c r="B9" s="13"/>
      <c r="C9" s="57"/>
      <c r="D9" s="57"/>
    </row>
    <row r="10" spans="1:5" s="9" customFormat="1" ht="18">
      <c r="B10" s="25" t="s">
        <v>128</v>
      </c>
      <c r="C10" s="11"/>
      <c r="D10" s="22"/>
    </row>
    <row r="11" spans="1:5" s="9" customFormat="1" ht="18">
      <c r="B11" s="25" t="s">
        <v>133</v>
      </c>
      <c r="C11" s="11"/>
      <c r="D11" s="22"/>
    </row>
    <row r="12" spans="1:5" s="23" customFormat="1" ht="18">
      <c r="B12" s="25" t="s">
        <v>75</v>
      </c>
      <c r="C12" s="11"/>
    </row>
    <row r="13" spans="1:5">
      <c r="B13" s="11"/>
    </row>
    <row r="14" spans="1:5" ht="18">
      <c r="B14" s="26" t="s">
        <v>389</v>
      </c>
    </row>
    <row r="15" spans="1:5" s="31" customFormat="1" ht="13.2">
      <c r="B15" s="76" t="s">
        <v>587</v>
      </c>
      <c r="C15" s="57"/>
      <c r="D15" s="57"/>
    </row>
    <row r="16" spans="1:5">
      <c r="A16" s="11"/>
      <c r="D16" s="16"/>
    </row>
    <row r="17" spans="1:4" s="234" customFormat="1" ht="13.2">
      <c r="A17" s="320" t="s">
        <v>0</v>
      </c>
      <c r="B17" s="321" t="s">
        <v>20</v>
      </c>
      <c r="C17" s="320" t="s">
        <v>21</v>
      </c>
      <c r="D17" s="320" t="s">
        <v>22</v>
      </c>
    </row>
    <row r="18" spans="1:4" s="234" customFormat="1" ht="13.2">
      <c r="A18" s="320"/>
      <c r="B18" s="321"/>
      <c r="C18" s="320"/>
      <c r="D18" s="320"/>
    </row>
    <row r="19" spans="1:4" s="234" customFormat="1" ht="13.2">
      <c r="A19" s="282"/>
      <c r="B19" s="283"/>
      <c r="C19" s="282"/>
      <c r="D19" s="282"/>
    </row>
    <row r="20" spans="1:4" s="234" customFormat="1" ht="13.2">
      <c r="A20" s="282" t="s">
        <v>402</v>
      </c>
      <c r="B20" s="284" t="s">
        <v>403</v>
      </c>
      <c r="C20" s="285"/>
      <c r="D20" s="285"/>
    </row>
    <row r="21" spans="1:4" s="234" customFormat="1" ht="13.2">
      <c r="A21" s="286"/>
      <c r="B21" s="287"/>
      <c r="C21" s="285"/>
      <c r="D21" s="285"/>
    </row>
    <row r="22" spans="1:4" s="233" customFormat="1" ht="105.6">
      <c r="A22" s="254">
        <v>1</v>
      </c>
      <c r="B22" s="287" t="s">
        <v>834</v>
      </c>
      <c r="C22" s="255">
        <f>'Det-Utili.Bl'!G7</f>
        <v>33</v>
      </c>
      <c r="D22" s="255" t="s">
        <v>9</v>
      </c>
    </row>
    <row r="23" spans="1:4" s="233" customFormat="1" ht="13.2">
      <c r="A23" s="254"/>
      <c r="B23" s="287"/>
      <c r="C23" s="255"/>
      <c r="D23" s="255"/>
    </row>
    <row r="24" spans="1:4" s="233" customFormat="1" ht="13.2">
      <c r="A24" s="254">
        <f>A22+1</f>
        <v>2</v>
      </c>
      <c r="B24" s="287" t="s">
        <v>568</v>
      </c>
      <c r="C24" s="255">
        <f>'Det-Utili.Bl'!G11</f>
        <v>11</v>
      </c>
      <c r="D24" s="255" t="s">
        <v>9</v>
      </c>
    </row>
    <row r="25" spans="1:4" s="233" customFormat="1" ht="13.2">
      <c r="A25" s="252"/>
      <c r="B25" s="287"/>
      <c r="C25" s="252"/>
      <c r="D25" s="252"/>
    </row>
    <row r="26" spans="1:4" s="233" customFormat="1" ht="66">
      <c r="A26" s="254">
        <f>A24+1</f>
        <v>3</v>
      </c>
      <c r="B26" s="287" t="s">
        <v>835</v>
      </c>
      <c r="C26" s="255">
        <f>'Det-Utili.Bl'!G20</f>
        <v>44</v>
      </c>
      <c r="D26" s="255" t="s">
        <v>9</v>
      </c>
    </row>
    <row r="27" spans="1:4" s="233" customFormat="1" ht="13.2">
      <c r="A27" s="254"/>
      <c r="B27" s="287"/>
      <c r="C27" s="255"/>
      <c r="D27" s="255"/>
    </row>
    <row r="28" spans="1:4" s="233" customFormat="1" ht="39.6">
      <c r="A28" s="254">
        <f>A26+1</f>
        <v>4</v>
      </c>
      <c r="B28" s="287" t="s">
        <v>836</v>
      </c>
      <c r="C28" s="255">
        <f>'Det-Utili.Bl'!G22</f>
        <v>16</v>
      </c>
      <c r="D28" s="255" t="s">
        <v>9</v>
      </c>
    </row>
    <row r="29" spans="1:4" s="233" customFormat="1" ht="13.2">
      <c r="A29" s="254"/>
      <c r="B29" s="287"/>
      <c r="C29" s="255"/>
      <c r="D29" s="255"/>
    </row>
    <row r="30" spans="1:4" s="233" customFormat="1" ht="52.8">
      <c r="A30" s="254">
        <f>A28+1</f>
        <v>5</v>
      </c>
      <c r="B30" s="287" t="s">
        <v>837</v>
      </c>
      <c r="C30" s="255">
        <f>'Det-Utili.Bl'!G26</f>
        <v>20</v>
      </c>
      <c r="D30" s="255" t="s">
        <v>9</v>
      </c>
    </row>
    <row r="31" spans="1:4" s="233" customFormat="1" ht="13.2">
      <c r="A31" s="254"/>
      <c r="B31" s="287"/>
      <c r="C31" s="252"/>
      <c r="D31" s="252"/>
    </row>
    <row r="32" spans="1:4" s="233" customFormat="1" ht="66">
      <c r="A32" s="254">
        <f>A30+1</f>
        <v>6</v>
      </c>
      <c r="B32" s="287" t="s">
        <v>838</v>
      </c>
      <c r="C32" s="255">
        <f>'Det-Utili.Bl'!G36</f>
        <v>24</v>
      </c>
      <c r="D32" s="255" t="s">
        <v>9</v>
      </c>
    </row>
    <row r="33" spans="1:4" s="233" customFormat="1" ht="13.2">
      <c r="A33" s="254"/>
      <c r="B33" s="287"/>
      <c r="C33" s="252"/>
      <c r="D33" s="252"/>
    </row>
    <row r="34" spans="1:4" s="233" customFormat="1" ht="66">
      <c r="A34" s="254">
        <f>A32+1</f>
        <v>7</v>
      </c>
      <c r="B34" s="287" t="s">
        <v>839</v>
      </c>
      <c r="C34" s="255">
        <f>'Det-Utili.Bl'!G46</f>
        <v>2</v>
      </c>
      <c r="D34" s="255" t="s">
        <v>9</v>
      </c>
    </row>
    <row r="35" spans="1:4" s="233" customFormat="1" ht="13.2">
      <c r="A35" s="254"/>
      <c r="B35" s="288"/>
      <c r="C35" s="255"/>
      <c r="D35" s="255"/>
    </row>
    <row r="36" spans="1:4" s="233" customFormat="1" ht="158.4">
      <c r="A36" s="254"/>
      <c r="B36" s="289" t="s">
        <v>840</v>
      </c>
      <c r="C36" s="255"/>
      <c r="D36" s="252"/>
    </row>
    <row r="37" spans="1:4" s="233" customFormat="1" ht="13.2">
      <c r="A37" s="254">
        <f>A34+1</f>
        <v>8</v>
      </c>
      <c r="B37" s="287" t="s">
        <v>908</v>
      </c>
      <c r="C37" s="255">
        <f>'Det-Utili.Bl'!G50</f>
        <v>7</v>
      </c>
      <c r="D37" s="255" t="s">
        <v>9</v>
      </c>
    </row>
    <row r="38" spans="1:4" s="233" customFormat="1" ht="13.2">
      <c r="A38" s="254"/>
      <c r="B38" s="288"/>
      <c r="C38" s="255"/>
      <c r="D38" s="255"/>
    </row>
    <row r="39" spans="1:4" s="233" customFormat="1" ht="13.2">
      <c r="A39" s="254">
        <f>A37+1</f>
        <v>9</v>
      </c>
      <c r="B39" s="287" t="s">
        <v>909</v>
      </c>
      <c r="C39" s="255">
        <f>'Det-Utili.Bl'!G57</f>
        <v>4</v>
      </c>
      <c r="D39" s="255" t="s">
        <v>9</v>
      </c>
    </row>
    <row r="40" spans="1:4" s="233" customFormat="1" ht="13.2">
      <c r="A40" s="254"/>
      <c r="B40" s="287"/>
      <c r="C40" s="255"/>
      <c r="D40" s="255"/>
    </row>
    <row r="41" spans="1:4" s="233" customFormat="1" ht="13.2">
      <c r="A41" s="254">
        <f>A39+1</f>
        <v>10</v>
      </c>
      <c r="B41" s="287" t="s">
        <v>910</v>
      </c>
      <c r="C41" s="255">
        <f>'Det-Utili.Bl'!G66</f>
        <v>6</v>
      </c>
      <c r="D41" s="255" t="s">
        <v>9</v>
      </c>
    </row>
    <row r="42" spans="1:4" s="233" customFormat="1" ht="13.2">
      <c r="A42" s="254"/>
      <c r="B42" s="287"/>
      <c r="C42" s="255"/>
      <c r="D42" s="255"/>
    </row>
    <row r="43" spans="1:4" s="233" customFormat="1" ht="13.2">
      <c r="A43" s="254">
        <f>A41+1</f>
        <v>11</v>
      </c>
      <c r="B43" s="287" t="s">
        <v>911</v>
      </c>
      <c r="C43" s="255">
        <f>'Det-Utili.Bl'!G73</f>
        <v>1</v>
      </c>
      <c r="D43" s="255" t="s">
        <v>9</v>
      </c>
    </row>
    <row r="44" spans="1:4" s="233" customFormat="1" ht="13.2">
      <c r="A44" s="254"/>
      <c r="B44" s="287"/>
      <c r="C44" s="252"/>
      <c r="D44" s="252"/>
    </row>
    <row r="45" spans="1:4" s="233" customFormat="1" ht="13.2">
      <c r="A45" s="254">
        <f>A43+1</f>
        <v>12</v>
      </c>
      <c r="B45" s="287" t="s">
        <v>912</v>
      </c>
      <c r="C45" s="255">
        <f>'Det-Utili.Bl'!G80</f>
        <v>4</v>
      </c>
      <c r="D45" s="255" t="s">
        <v>9</v>
      </c>
    </row>
    <row r="46" spans="1:4" s="233" customFormat="1" ht="13.2">
      <c r="A46" s="254"/>
      <c r="B46" s="287"/>
      <c r="C46" s="252"/>
      <c r="D46" s="252"/>
    </row>
    <row r="47" spans="1:4" s="233" customFormat="1" ht="26.4">
      <c r="A47" s="254">
        <f>A45+1</f>
        <v>13</v>
      </c>
      <c r="B47" s="287" t="s">
        <v>913</v>
      </c>
      <c r="C47" s="255">
        <f>'Det-Utili.Bl'!G84</f>
        <v>1</v>
      </c>
      <c r="D47" s="255" t="s">
        <v>9</v>
      </c>
    </row>
    <row r="48" spans="1:4" s="233" customFormat="1" ht="13.2">
      <c r="A48" s="254"/>
      <c r="B48" s="287"/>
      <c r="C48" s="255"/>
      <c r="D48" s="255"/>
    </row>
    <row r="49" spans="1:4" s="233" customFormat="1" ht="26.4">
      <c r="A49" s="254"/>
      <c r="B49" s="289" t="s">
        <v>851</v>
      </c>
      <c r="C49" s="252"/>
      <c r="D49" s="252"/>
    </row>
    <row r="50" spans="1:4" s="233" customFormat="1" ht="13.2">
      <c r="A50" s="254">
        <f>A47+1</f>
        <v>14</v>
      </c>
      <c r="B50" s="287" t="s">
        <v>852</v>
      </c>
      <c r="C50" s="255">
        <f>'Det-Utili.Bl'!G90</f>
        <v>17</v>
      </c>
      <c r="D50" s="255" t="s">
        <v>47</v>
      </c>
    </row>
    <row r="51" spans="1:4" s="233" customFormat="1" ht="13.2">
      <c r="A51" s="254"/>
      <c r="B51" s="289"/>
      <c r="C51" s="252"/>
      <c r="D51" s="252"/>
    </row>
    <row r="52" spans="1:4" s="233" customFormat="1" ht="13.2">
      <c r="A52" s="254">
        <f>A50+1</f>
        <v>15</v>
      </c>
      <c r="B52" s="287" t="s">
        <v>853</v>
      </c>
      <c r="C52" s="255">
        <f>'Det-Utili.Bl'!G97</f>
        <v>49</v>
      </c>
      <c r="D52" s="255" t="s">
        <v>47</v>
      </c>
    </row>
    <row r="53" spans="1:4" s="233" customFormat="1" ht="13.2">
      <c r="A53" s="254"/>
      <c r="B53" s="284"/>
      <c r="C53" s="252"/>
      <c r="D53" s="252"/>
    </row>
    <row r="54" spans="1:4" s="233" customFormat="1" ht="13.2">
      <c r="A54" s="254">
        <f>A52+1</f>
        <v>16</v>
      </c>
      <c r="B54" s="287" t="s">
        <v>854</v>
      </c>
      <c r="C54" s="255">
        <f>'Det-Utili.Bl'!G105</f>
        <v>33</v>
      </c>
      <c r="D54" s="255" t="s">
        <v>47</v>
      </c>
    </row>
    <row r="55" spans="1:4" s="233" customFormat="1" ht="13.2">
      <c r="A55" s="254"/>
      <c r="B55" s="283"/>
      <c r="C55" s="255"/>
      <c r="D55" s="255"/>
    </row>
    <row r="56" spans="1:4" s="233" customFormat="1" ht="13.2">
      <c r="A56" s="254">
        <f>A54+1</f>
        <v>17</v>
      </c>
      <c r="B56" s="287" t="s">
        <v>856</v>
      </c>
      <c r="C56" s="255">
        <f>'Det-Utili.Bl'!G113</f>
        <v>6</v>
      </c>
      <c r="D56" s="255" t="s">
        <v>47</v>
      </c>
    </row>
    <row r="57" spans="1:4" s="233" customFormat="1" ht="13.2">
      <c r="A57" s="254"/>
      <c r="B57" s="287"/>
      <c r="C57" s="252"/>
      <c r="D57" s="252"/>
    </row>
    <row r="58" spans="1:4" s="233" customFormat="1" ht="13.2">
      <c r="A58" s="254">
        <f>A56+1</f>
        <v>18</v>
      </c>
      <c r="B58" s="287" t="s">
        <v>855</v>
      </c>
      <c r="C58" s="255">
        <f>'Det-Utili.Bl'!G120</f>
        <v>33</v>
      </c>
      <c r="D58" s="255" t="s">
        <v>47</v>
      </c>
    </row>
    <row r="59" spans="1:4" s="233" customFormat="1" ht="13.2">
      <c r="A59" s="254"/>
      <c r="B59" s="287"/>
      <c r="C59" s="255"/>
      <c r="D59" s="255"/>
    </row>
    <row r="60" spans="1:4" s="233" customFormat="1" ht="13.2">
      <c r="A60" s="254">
        <f>A58+1</f>
        <v>19</v>
      </c>
      <c r="B60" s="287" t="s">
        <v>914</v>
      </c>
      <c r="C60" s="255">
        <f>'Det-Utili.Bl'!G124</f>
        <v>3</v>
      </c>
      <c r="D60" s="255" t="s">
        <v>47</v>
      </c>
    </row>
    <row r="61" spans="1:4" s="233" customFormat="1" ht="13.2">
      <c r="A61" s="254"/>
      <c r="B61" s="283"/>
      <c r="C61" s="252"/>
      <c r="D61" s="252"/>
    </row>
    <row r="62" spans="1:4" s="233" customFormat="1" ht="66">
      <c r="A62" s="254">
        <f>A60+1</f>
        <v>20</v>
      </c>
      <c r="B62" s="287" t="s">
        <v>936</v>
      </c>
      <c r="C62" s="255">
        <f>'Det-Utili.Bl'!G135</f>
        <v>2825</v>
      </c>
      <c r="D62" s="255" t="s">
        <v>401</v>
      </c>
    </row>
    <row r="63" spans="1:4" s="233" customFormat="1" ht="13.2">
      <c r="A63" s="254"/>
      <c r="B63" s="287"/>
      <c r="C63" s="252"/>
      <c r="D63" s="252"/>
    </row>
    <row r="64" spans="1:4" s="233" customFormat="1" ht="79.2">
      <c r="A64" s="254">
        <f>A62+1</f>
        <v>21</v>
      </c>
      <c r="B64" s="287" t="s">
        <v>862</v>
      </c>
      <c r="C64" s="255">
        <f>'Det-Utili.Bl'!G147</f>
        <v>39</v>
      </c>
      <c r="D64" s="255" t="s">
        <v>9</v>
      </c>
    </row>
    <row r="65" spans="1:5" s="233" customFormat="1" ht="13.2">
      <c r="A65" s="254"/>
      <c r="B65" s="287"/>
      <c r="C65" s="252"/>
      <c r="D65" s="252"/>
    </row>
    <row r="66" spans="1:5" s="233" customFormat="1" ht="171.6">
      <c r="A66" s="254">
        <f>A64+1</f>
        <v>22</v>
      </c>
      <c r="B66" s="287" t="s">
        <v>869</v>
      </c>
      <c r="C66" s="255">
        <f>'Det-Utili.Bl'!G152</f>
        <v>6</v>
      </c>
      <c r="D66" s="252" t="s">
        <v>61</v>
      </c>
    </row>
    <row r="67" spans="1:5" s="233" customFormat="1" ht="13.2">
      <c r="A67" s="254"/>
      <c r="B67" s="287"/>
      <c r="C67" s="252"/>
      <c r="D67" s="252"/>
    </row>
    <row r="68" spans="1:5" s="233" customFormat="1" ht="66">
      <c r="A68" s="254">
        <f>A66+1</f>
        <v>23</v>
      </c>
      <c r="B68" s="287" t="s">
        <v>872</v>
      </c>
      <c r="C68" s="255">
        <f>'Det-Utili.Bl'!G155</f>
        <v>1</v>
      </c>
      <c r="D68" s="252" t="s">
        <v>47</v>
      </c>
    </row>
    <row r="69" spans="1:5" s="233" customFormat="1" ht="13.2">
      <c r="A69" s="254"/>
      <c r="B69" s="287"/>
      <c r="C69" s="252"/>
      <c r="D69" s="252"/>
    </row>
    <row r="70" spans="1:5" s="233" customFormat="1" ht="52.8">
      <c r="A70" s="254">
        <f>A68+1</f>
        <v>24</v>
      </c>
      <c r="B70" s="287" t="s">
        <v>873</v>
      </c>
      <c r="C70" s="255">
        <f>'Det-Utili.Bl'!G159</f>
        <v>1</v>
      </c>
      <c r="D70" s="252" t="s">
        <v>47</v>
      </c>
    </row>
    <row r="71" spans="1:5" s="233" customFormat="1" ht="13.2">
      <c r="A71" s="254"/>
      <c r="B71" s="290"/>
      <c r="C71" s="252"/>
      <c r="D71" s="252"/>
    </row>
    <row r="72" spans="1:5" s="233" customFormat="1" ht="79.2">
      <c r="A72" s="254">
        <f>A70+1</f>
        <v>25</v>
      </c>
      <c r="B72" s="287" t="s">
        <v>874</v>
      </c>
      <c r="C72" s="255">
        <f>'Det-Utili.Bl'!G164</f>
        <v>16</v>
      </c>
      <c r="D72" s="255" t="s">
        <v>24</v>
      </c>
    </row>
    <row r="73" spans="1:5" s="233" customFormat="1" ht="13.2">
      <c r="A73" s="254"/>
      <c r="B73" s="287"/>
      <c r="C73" s="252"/>
      <c r="D73" s="252"/>
      <c r="E73" s="238"/>
    </row>
    <row r="74" spans="1:5" s="233" customFormat="1" ht="66">
      <c r="A74" s="254">
        <f>A72+1</f>
        <v>26</v>
      </c>
      <c r="B74" s="287" t="s">
        <v>901</v>
      </c>
      <c r="C74" s="255">
        <f>'Det-Utili.Bl'!G170</f>
        <v>499</v>
      </c>
      <c r="D74" s="255" t="s">
        <v>61</v>
      </c>
      <c r="E74" s="238"/>
    </row>
    <row r="75" spans="1:5" s="233" customFormat="1" ht="13.2">
      <c r="A75" s="254"/>
      <c r="B75" s="287"/>
      <c r="C75" s="252"/>
      <c r="D75" s="252"/>
      <c r="E75" s="238"/>
    </row>
    <row r="76" spans="1:5" s="233" customFormat="1" ht="52.8">
      <c r="A76" s="254">
        <f>A74+1</f>
        <v>27</v>
      </c>
      <c r="B76" s="287" t="s">
        <v>902</v>
      </c>
      <c r="C76" s="255">
        <f>'Det-Utili.Bl'!G173</f>
        <v>61</v>
      </c>
      <c r="D76" s="255" t="s">
        <v>17</v>
      </c>
      <c r="E76" s="238"/>
    </row>
    <row r="77" spans="1:5" s="233" customFormat="1" ht="13.2">
      <c r="A77" s="254"/>
      <c r="B77" s="287"/>
      <c r="C77" s="252"/>
      <c r="D77" s="252"/>
      <c r="E77" s="238"/>
    </row>
    <row r="78" spans="1:5" s="233" customFormat="1" ht="13.2">
      <c r="A78" s="254">
        <f>A76+1</f>
        <v>28</v>
      </c>
      <c r="B78" s="287" t="s">
        <v>565</v>
      </c>
      <c r="C78" s="255">
        <f>'Det-Utili.Bl'!G176</f>
        <v>9</v>
      </c>
      <c r="D78" s="255" t="s">
        <v>53</v>
      </c>
      <c r="E78" s="238"/>
    </row>
    <row r="79" spans="1:5" s="233" customFormat="1" ht="13.2">
      <c r="A79" s="254"/>
      <c r="B79" s="287"/>
      <c r="C79" s="255"/>
      <c r="D79" s="255"/>
      <c r="E79" s="238"/>
    </row>
    <row r="80" spans="1:5" s="233" customFormat="1" ht="66">
      <c r="A80" s="254">
        <f>A78+1</f>
        <v>29</v>
      </c>
      <c r="B80" s="289" t="s">
        <v>880</v>
      </c>
      <c r="C80" s="255">
        <f>'Det-Utili.Bl'!G183</f>
        <v>147</v>
      </c>
      <c r="D80" s="255" t="s">
        <v>17</v>
      </c>
      <c r="E80" s="238"/>
    </row>
    <row r="81" spans="1:5" s="233" customFormat="1" ht="13.2">
      <c r="A81" s="254"/>
      <c r="B81" s="289"/>
      <c r="C81" s="252"/>
      <c r="D81" s="252"/>
      <c r="E81" s="238"/>
    </row>
    <row r="82" spans="1:5" s="233" customFormat="1" ht="66">
      <c r="A82" s="254">
        <f>A80+1</f>
        <v>30</v>
      </c>
      <c r="B82" s="287" t="s">
        <v>882</v>
      </c>
      <c r="C82" s="255">
        <f>'Det-Utili.Bl'!G190</f>
        <v>109</v>
      </c>
      <c r="D82" s="255" t="s">
        <v>17</v>
      </c>
      <c r="E82" s="238"/>
    </row>
    <row r="83" spans="1:5" s="233" customFormat="1" ht="13.2">
      <c r="A83" s="254"/>
      <c r="B83" s="290"/>
      <c r="C83" s="252"/>
      <c r="D83" s="252"/>
      <c r="E83" s="238"/>
    </row>
    <row r="84" spans="1:5" s="233" customFormat="1" ht="66">
      <c r="A84" s="254">
        <f>A82+1</f>
        <v>31</v>
      </c>
      <c r="B84" s="287" t="s">
        <v>915</v>
      </c>
      <c r="C84" s="255">
        <f>'Det-Utili.Bl'!G194</f>
        <v>43</v>
      </c>
      <c r="D84" s="255" t="s">
        <v>17</v>
      </c>
    </row>
    <row r="85" spans="1:5" s="233" customFormat="1" ht="13.2">
      <c r="A85" s="254"/>
      <c r="B85" s="290"/>
      <c r="C85" s="252"/>
      <c r="D85" s="252"/>
    </row>
    <row r="86" spans="1:5" s="233" customFormat="1" ht="52.8">
      <c r="A86" s="254">
        <f>A84+1</f>
        <v>32</v>
      </c>
      <c r="B86" s="287" t="s">
        <v>899</v>
      </c>
      <c r="C86" s="255">
        <f>'Det-Utili.Bl'!G201</f>
        <v>256</v>
      </c>
      <c r="D86" s="255" t="s">
        <v>17</v>
      </c>
    </row>
    <row r="87" spans="1:5" s="208" customFormat="1">
      <c r="A87" s="229"/>
      <c r="B87" s="275"/>
      <c r="C87" s="213"/>
      <c r="D87" s="213"/>
    </row>
    <row r="88" spans="1:5" s="9" customFormat="1" hidden="1">
      <c r="A88" s="86"/>
      <c r="B88" s="277" t="s">
        <v>23</v>
      </c>
      <c r="C88" s="88"/>
      <c r="D88" s="89"/>
    </row>
    <row r="89" spans="1:5" s="9" customFormat="1" hidden="1">
      <c r="A89" s="13"/>
      <c r="B89" s="276"/>
      <c r="C89" s="11"/>
      <c r="D89" s="14"/>
    </row>
    <row r="90" spans="1:5" hidden="1">
      <c r="A90" s="13">
        <v>1</v>
      </c>
      <c r="B90" s="278" t="s">
        <v>588</v>
      </c>
    </row>
    <row r="91" spans="1:5" hidden="1"/>
    <row r="92" spans="1:5" hidden="1">
      <c r="A92" s="86"/>
      <c r="B92" s="277" t="s">
        <v>23</v>
      </c>
      <c r="C92" s="88"/>
      <c r="D92" s="91"/>
    </row>
    <row r="93" spans="1:5" hidden="1">
      <c r="B93" s="276"/>
    </row>
    <row r="94" spans="1:5" hidden="1">
      <c r="A94" s="13">
        <v>2</v>
      </c>
      <c r="B94" s="275" t="s">
        <v>404</v>
      </c>
    </row>
    <row r="95" spans="1:5" hidden="1"/>
    <row r="96" spans="1:5" hidden="1">
      <c r="A96" s="92"/>
      <c r="B96" s="279" t="s">
        <v>405</v>
      </c>
      <c r="C96" s="94"/>
      <c r="D96" s="95"/>
    </row>
    <row r="97" spans="1:4" hidden="1">
      <c r="A97" s="92"/>
      <c r="B97" s="280"/>
      <c r="C97" s="94"/>
      <c r="D97" s="95"/>
    </row>
    <row r="98" spans="1:4" hidden="1">
      <c r="A98" s="86"/>
      <c r="B98" s="277" t="s">
        <v>406</v>
      </c>
      <c r="C98" s="88"/>
      <c r="D98" s="89"/>
    </row>
    <row r="99" spans="1:4" ht="14.4" hidden="1" thickBot="1">
      <c r="A99" s="96"/>
      <c r="B99" s="281" t="s">
        <v>407</v>
      </c>
      <c r="C99" s="60"/>
      <c r="D99" s="98"/>
    </row>
    <row r="100" spans="1:4" hidden="1"/>
  </sheetData>
  <mergeCells count="4">
    <mergeCell ref="A17:A18"/>
    <mergeCell ref="B17:B18"/>
    <mergeCell ref="C17:C18"/>
    <mergeCell ref="D17:D18"/>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topLeftCell="A124" workbookViewId="0">
      <selection activeCell="G166" sqref="G166"/>
    </sheetView>
  </sheetViews>
  <sheetFormatPr defaultColWidth="9.109375" defaultRowHeight="13.8"/>
  <cols>
    <col min="1" max="1" width="5.44140625" style="31" customWidth="1"/>
    <col min="2" max="2" width="38" style="31" customWidth="1"/>
    <col min="3" max="3" width="6.6640625" style="31" customWidth="1"/>
    <col min="4" max="4" width="9.33203125" style="31" customWidth="1"/>
    <col min="5" max="5" width="9.44140625" style="31" bestFit="1" customWidth="1"/>
    <col min="6" max="6" width="8" style="31" customWidth="1"/>
    <col min="7" max="7" width="11.33203125" style="31" bestFit="1" customWidth="1"/>
    <col min="8" max="8" width="6" style="31" customWidth="1"/>
    <col min="9" max="9" width="9.109375" style="31"/>
    <col min="10" max="10" width="11.6640625" style="9" customWidth="1"/>
    <col min="11" max="11" width="9.109375" style="9"/>
    <col min="12" max="16384" width="9.109375" style="31"/>
  </cols>
  <sheetData>
    <row r="1" spans="1:9" s="31" customFormat="1">
      <c r="B1" s="15" t="s">
        <v>385</v>
      </c>
    </row>
    <row r="2" spans="1:9" s="31" customFormat="1">
      <c r="B2" s="15"/>
    </row>
    <row r="3" spans="1:9" s="31" customFormat="1">
      <c r="A3" s="77" t="s">
        <v>0</v>
      </c>
      <c r="B3" s="78" t="s">
        <v>1</v>
      </c>
      <c r="C3" s="78" t="s">
        <v>2</v>
      </c>
      <c r="D3" s="78" t="s">
        <v>3</v>
      </c>
      <c r="E3" s="78" t="s">
        <v>4</v>
      </c>
      <c r="F3" s="78" t="s">
        <v>5</v>
      </c>
      <c r="G3" s="78" t="s">
        <v>6</v>
      </c>
      <c r="H3" s="78" t="s">
        <v>7</v>
      </c>
      <c r="I3" s="9"/>
    </row>
    <row r="4" spans="1:9" s="31" customFormat="1">
      <c r="A4" s="44"/>
      <c r="B4" s="24"/>
      <c r="C4" s="24"/>
      <c r="D4" s="24"/>
      <c r="E4" s="24"/>
      <c r="F4" s="24"/>
      <c r="G4" s="24"/>
      <c r="H4" s="24"/>
      <c r="I4" s="9"/>
    </row>
    <row r="5" spans="1:9" s="31" customFormat="1">
      <c r="A5" s="18">
        <v>1</v>
      </c>
      <c r="B5" s="8" t="s">
        <v>76</v>
      </c>
      <c r="C5" s="1"/>
      <c r="D5" s="5"/>
      <c r="E5" s="5"/>
      <c r="F5" s="5"/>
      <c r="G5" s="4"/>
      <c r="H5" s="1"/>
      <c r="I5" s="9"/>
    </row>
    <row r="6" spans="1:9" s="31" customFormat="1">
      <c r="A6" s="18"/>
      <c r="B6" s="46" t="s">
        <v>8</v>
      </c>
      <c r="C6" s="1">
        <v>6</v>
      </c>
      <c r="D6" s="5">
        <v>1.9</v>
      </c>
      <c r="E6" s="5">
        <v>1.9</v>
      </c>
      <c r="F6" s="5">
        <v>1.5</v>
      </c>
      <c r="G6" s="4">
        <f>C6*D6*E6*F6</f>
        <v>32.489999999999995</v>
      </c>
      <c r="H6" s="1" t="s">
        <v>12</v>
      </c>
      <c r="I6" s="9"/>
    </row>
    <row r="7" spans="1:9" s="31" customFormat="1">
      <c r="A7" s="18"/>
      <c r="B7" s="8"/>
      <c r="C7" s="46"/>
      <c r="D7" s="46"/>
      <c r="E7" s="46"/>
      <c r="F7" s="75" t="s">
        <v>13</v>
      </c>
      <c r="G7" s="27">
        <f>ROUNDUP(G6,0)</f>
        <v>33</v>
      </c>
      <c r="H7" s="28" t="s">
        <v>9</v>
      </c>
      <c r="I7" s="9"/>
    </row>
    <row r="8" spans="1:9" s="31" customFormat="1">
      <c r="A8" s="44"/>
      <c r="B8" s="24"/>
      <c r="C8" s="24"/>
      <c r="D8" s="24"/>
      <c r="E8" s="24"/>
      <c r="F8" s="24"/>
      <c r="G8" s="24"/>
      <c r="H8" s="24"/>
      <c r="I8" s="9"/>
    </row>
    <row r="9" spans="1:9" s="31" customFormat="1">
      <c r="A9" s="18">
        <f>A5+1</f>
        <v>2</v>
      </c>
      <c r="B9" s="8" t="s">
        <v>77</v>
      </c>
      <c r="C9" s="1"/>
      <c r="D9" s="5"/>
      <c r="E9" s="5"/>
      <c r="F9" s="5"/>
      <c r="G9" s="4"/>
      <c r="H9" s="1"/>
      <c r="I9" s="9"/>
    </row>
    <row r="10" spans="1:9" s="31" customFormat="1">
      <c r="A10" s="18"/>
      <c r="B10" s="46" t="s">
        <v>8</v>
      </c>
      <c r="C10" s="1">
        <v>6</v>
      </c>
      <c r="D10" s="5">
        <v>1.9</v>
      </c>
      <c r="E10" s="5">
        <v>1.9</v>
      </c>
      <c r="F10" s="5">
        <v>0.5</v>
      </c>
      <c r="G10" s="4">
        <f>C10*D10*E10*F10</f>
        <v>10.829999999999998</v>
      </c>
      <c r="H10" s="1" t="s">
        <v>12</v>
      </c>
      <c r="I10" s="9"/>
    </row>
    <row r="11" spans="1:9" s="31" customFormat="1">
      <c r="A11" s="18"/>
      <c r="B11" s="8"/>
      <c r="C11" s="46"/>
      <c r="D11" s="46"/>
      <c r="E11" s="46"/>
      <c r="F11" s="75" t="s">
        <v>13</v>
      </c>
      <c r="G11" s="27">
        <f>ROUNDUP(G10,0)</f>
        <v>11</v>
      </c>
      <c r="H11" s="28" t="s">
        <v>9</v>
      </c>
      <c r="I11" s="9"/>
    </row>
    <row r="12" spans="1:9" s="31" customFormat="1">
      <c r="A12" s="44"/>
      <c r="B12" s="24"/>
      <c r="C12" s="24"/>
      <c r="D12" s="24"/>
      <c r="E12" s="24"/>
      <c r="F12" s="24"/>
      <c r="G12" s="24"/>
      <c r="H12" s="24"/>
      <c r="I12" s="9"/>
    </row>
    <row r="13" spans="1:9" s="31" customFormat="1">
      <c r="A13" s="18"/>
      <c r="B13" s="8" t="s">
        <v>14</v>
      </c>
      <c r="C13" s="46"/>
      <c r="D13" s="46"/>
      <c r="E13" s="46"/>
      <c r="F13" s="46"/>
      <c r="G13" s="1"/>
      <c r="H13" s="1"/>
    </row>
    <row r="14" spans="1:9" s="31" customFormat="1">
      <c r="A14" s="18"/>
      <c r="B14" s="46" t="s">
        <v>66</v>
      </c>
      <c r="C14" s="1"/>
      <c r="D14" s="5"/>
      <c r="E14" s="5"/>
      <c r="F14" s="5"/>
      <c r="G14" s="4">
        <f>(G6+G10)*0.7</f>
        <v>30.323999999999995</v>
      </c>
      <c r="H14" s="1" t="s">
        <v>9</v>
      </c>
    </row>
    <row r="15" spans="1:9" s="31" customFormat="1">
      <c r="A15" s="18"/>
      <c r="B15" s="46" t="s">
        <v>15</v>
      </c>
      <c r="C15" s="1">
        <v>1</v>
      </c>
      <c r="D15" s="5">
        <v>97</v>
      </c>
      <c r="E15" s="5" t="s">
        <v>47</v>
      </c>
      <c r="F15" s="5">
        <v>0.3</v>
      </c>
      <c r="G15" s="4">
        <f>C15*D15*F15</f>
        <v>29.099999999999998</v>
      </c>
      <c r="H15" s="1" t="s">
        <v>10</v>
      </c>
    </row>
    <row r="16" spans="1:9" s="31" customFormat="1">
      <c r="A16" s="18"/>
      <c r="B16" s="46"/>
      <c r="C16" s="1"/>
      <c r="D16" s="5"/>
      <c r="E16" s="5"/>
      <c r="F16" s="5"/>
      <c r="G16" s="4"/>
      <c r="H16" s="1"/>
    </row>
    <row r="17" spans="1:10" s="31" customFormat="1">
      <c r="A17" s="18"/>
      <c r="B17" s="8"/>
      <c r="C17" s="46"/>
      <c r="D17" s="46"/>
      <c r="E17" s="46"/>
      <c r="F17" s="99" t="s">
        <v>11</v>
      </c>
      <c r="G17" s="53">
        <f>SUM(G14:G16)</f>
        <v>59.423999999999992</v>
      </c>
      <c r="H17" s="50" t="s">
        <v>12</v>
      </c>
      <c r="J17" s="4"/>
    </row>
    <row r="18" spans="1:10" s="31" customFormat="1">
      <c r="A18" s="18"/>
      <c r="B18" s="44"/>
      <c r="C18" s="46"/>
      <c r="D18" s="46"/>
      <c r="E18" s="46"/>
      <c r="F18" s="75" t="s">
        <v>13</v>
      </c>
      <c r="G18" s="27">
        <f>ROUNDUP(G17,0)</f>
        <v>60</v>
      </c>
      <c r="H18" s="28" t="s">
        <v>9</v>
      </c>
      <c r="J18" s="9"/>
    </row>
    <row r="19" spans="1:10" s="31" customFormat="1">
      <c r="A19" s="18"/>
      <c r="B19" s="44"/>
      <c r="C19" s="46"/>
      <c r="D19" s="46"/>
      <c r="E19" s="46"/>
      <c r="F19" s="46"/>
      <c r="G19" s="33"/>
      <c r="H19" s="24"/>
      <c r="J19" s="9"/>
    </row>
    <row r="20" spans="1:10" s="31" customFormat="1">
      <c r="A20" s="18">
        <f>A9+1</f>
        <v>3</v>
      </c>
      <c r="B20" s="8" t="s">
        <v>78</v>
      </c>
      <c r="C20" s="1"/>
      <c r="D20" s="5"/>
      <c r="E20" s="5"/>
      <c r="F20" s="46"/>
      <c r="G20" s="33">
        <f>G7+G11</f>
        <v>44</v>
      </c>
      <c r="H20" s="24" t="s">
        <v>12</v>
      </c>
      <c r="J20" s="9"/>
    </row>
    <row r="21" spans="1:10" s="31" customFormat="1">
      <c r="A21" s="18"/>
      <c r="B21" s="44"/>
      <c r="C21" s="46"/>
      <c r="D21" s="46"/>
      <c r="E21" s="46"/>
      <c r="F21" s="46"/>
      <c r="G21" s="33"/>
      <c r="H21" s="24"/>
      <c r="J21" s="9"/>
    </row>
    <row r="22" spans="1:10" s="31" customFormat="1">
      <c r="A22" s="18">
        <f>A20+1</f>
        <v>4</v>
      </c>
      <c r="B22" s="8" t="s">
        <v>35</v>
      </c>
      <c r="C22" s="1"/>
      <c r="D22" s="5"/>
      <c r="E22" s="5"/>
      <c r="F22" s="46"/>
      <c r="G22" s="33">
        <f>G18-G20</f>
        <v>16</v>
      </c>
      <c r="H22" s="24" t="s">
        <v>12</v>
      </c>
      <c r="J22" s="9"/>
    </row>
    <row r="23" spans="1:10" s="31" customFormat="1">
      <c r="A23" s="66"/>
      <c r="C23" s="74"/>
      <c r="D23" s="74"/>
      <c r="E23" s="74"/>
      <c r="F23" s="74"/>
      <c r="J23" s="9"/>
    </row>
    <row r="24" spans="1:10" s="31" customFormat="1">
      <c r="A24" s="18">
        <f>A22+1</f>
        <v>5</v>
      </c>
      <c r="B24" s="9" t="s">
        <v>36</v>
      </c>
      <c r="C24" s="1"/>
      <c r="D24" s="5"/>
      <c r="E24" s="5"/>
      <c r="F24" s="5"/>
      <c r="G24" s="4"/>
      <c r="H24" s="1"/>
      <c r="I24" s="67"/>
      <c r="J24" s="9"/>
    </row>
    <row r="25" spans="1:10" s="31" customFormat="1">
      <c r="A25" s="18"/>
      <c r="B25" s="46"/>
      <c r="C25" s="1">
        <v>1</v>
      </c>
      <c r="D25" s="5">
        <v>97</v>
      </c>
      <c r="E25" s="5" t="s">
        <v>47</v>
      </c>
      <c r="F25" s="5">
        <v>0.2</v>
      </c>
      <c r="G25" s="4">
        <f>C25*D25*F25</f>
        <v>19.400000000000002</v>
      </c>
      <c r="H25" s="1" t="s">
        <v>9</v>
      </c>
      <c r="I25" s="67"/>
      <c r="J25" s="9"/>
    </row>
    <row r="26" spans="1:10" s="31" customFormat="1">
      <c r="A26" s="18"/>
      <c r="B26" s="8"/>
      <c r="C26" s="46"/>
      <c r="D26" s="46"/>
      <c r="E26" s="46"/>
      <c r="F26" s="75" t="s">
        <v>13</v>
      </c>
      <c r="G26" s="27">
        <f>ROUNDUP(G25,0)</f>
        <v>20</v>
      </c>
      <c r="H26" s="28" t="s">
        <v>9</v>
      </c>
      <c r="I26" s="67"/>
      <c r="J26" s="9"/>
    </row>
    <row r="27" spans="1:10" s="31" customFormat="1">
      <c r="A27" s="17"/>
      <c r="B27" s="8"/>
      <c r="C27" s="74"/>
      <c r="D27" s="74"/>
      <c r="E27" s="74"/>
      <c r="F27" s="74"/>
      <c r="G27" s="72"/>
      <c r="H27" s="24"/>
      <c r="I27" s="67"/>
      <c r="J27" s="9"/>
    </row>
    <row r="28" spans="1:10" s="31" customFormat="1">
      <c r="A28" s="18">
        <f>A24+1</f>
        <v>6</v>
      </c>
      <c r="B28" s="9" t="s">
        <v>37</v>
      </c>
      <c r="C28" s="1"/>
      <c r="D28" s="5"/>
      <c r="E28" s="5"/>
      <c r="F28" s="5"/>
      <c r="G28" s="4"/>
      <c r="H28" s="1" t="s">
        <v>394</v>
      </c>
      <c r="I28" s="9"/>
      <c r="J28" s="9"/>
    </row>
    <row r="29" spans="1:10" s="31" customFormat="1">
      <c r="A29" s="18"/>
      <c r="B29" s="46" t="s">
        <v>8</v>
      </c>
      <c r="C29" s="1">
        <v>10</v>
      </c>
      <c r="D29" s="5">
        <v>1.7</v>
      </c>
      <c r="E29" s="5">
        <v>1.7</v>
      </c>
      <c r="F29" s="5">
        <v>0.15</v>
      </c>
      <c r="G29" s="4">
        <f>C29*D29*E29*F29</f>
        <v>4.335</v>
      </c>
      <c r="H29" s="1" t="s">
        <v>12</v>
      </c>
      <c r="I29" s="9"/>
      <c r="J29" s="9"/>
    </row>
    <row r="30" spans="1:10" s="31" customFormat="1">
      <c r="A30" s="18"/>
      <c r="B30" s="46" t="s">
        <v>16</v>
      </c>
      <c r="C30" s="1">
        <v>1</v>
      </c>
      <c r="D30" s="5">
        <v>97</v>
      </c>
      <c r="E30" s="5" t="s">
        <v>47</v>
      </c>
      <c r="F30" s="5">
        <v>0.1</v>
      </c>
      <c r="G30" s="4">
        <f>C30*D30*F30</f>
        <v>9.7000000000000011</v>
      </c>
      <c r="H30" s="1" t="s">
        <v>10</v>
      </c>
      <c r="I30" s="9"/>
      <c r="J30" s="9"/>
    </row>
    <row r="31" spans="1:10" s="31" customFormat="1">
      <c r="A31" s="18"/>
      <c r="B31" s="46"/>
      <c r="C31" s="1">
        <v>2</v>
      </c>
      <c r="D31" s="5">
        <v>7.5</v>
      </c>
      <c r="E31" s="5">
        <v>0.4</v>
      </c>
      <c r="F31" s="5">
        <v>0.1</v>
      </c>
      <c r="G31" s="4">
        <f>C31*D31*E31*F31</f>
        <v>0.60000000000000009</v>
      </c>
      <c r="H31" s="1" t="s">
        <v>10</v>
      </c>
      <c r="I31" s="9"/>
      <c r="J31" s="9"/>
    </row>
    <row r="32" spans="1:10" s="31" customFormat="1">
      <c r="A32" s="18"/>
      <c r="B32" s="46"/>
      <c r="C32" s="1">
        <v>3</v>
      </c>
      <c r="D32" s="5">
        <v>6</v>
      </c>
      <c r="E32" s="5">
        <v>0.4</v>
      </c>
      <c r="F32" s="5">
        <v>0.1</v>
      </c>
      <c r="G32" s="4">
        <f>C32*D32*E32*F32</f>
        <v>0.72000000000000008</v>
      </c>
      <c r="H32" s="1" t="s">
        <v>10</v>
      </c>
      <c r="I32" s="9"/>
      <c r="J32" s="9"/>
    </row>
    <row r="33" spans="1:11">
      <c r="A33" s="18"/>
      <c r="B33" s="46"/>
      <c r="C33" s="1">
        <v>1</v>
      </c>
      <c r="D33" s="5">
        <v>8</v>
      </c>
      <c r="E33" s="5">
        <v>6.5</v>
      </c>
      <c r="F33" s="5">
        <v>0.15</v>
      </c>
      <c r="G33" s="4">
        <f>C33*D33*E33*F33</f>
        <v>7.8</v>
      </c>
      <c r="H33" s="1" t="s">
        <v>10</v>
      </c>
      <c r="I33" s="9"/>
      <c r="K33" s="31"/>
    </row>
    <row r="34" spans="1:11">
      <c r="A34" s="18"/>
      <c r="B34" s="46"/>
      <c r="C34" s="46"/>
      <c r="D34" s="2"/>
      <c r="E34" s="2"/>
      <c r="F34" s="2"/>
      <c r="G34" s="4"/>
      <c r="H34" s="1"/>
      <c r="I34" s="9"/>
      <c r="K34" s="31"/>
    </row>
    <row r="35" spans="1:11">
      <c r="A35" s="18"/>
      <c r="B35" s="8"/>
      <c r="C35" s="46"/>
      <c r="D35" s="46"/>
      <c r="E35" s="74"/>
      <c r="F35" s="100" t="s">
        <v>11</v>
      </c>
      <c r="G35" s="53">
        <f>SUM(G29:G34)</f>
        <v>23.155000000000001</v>
      </c>
      <c r="H35" s="50" t="s">
        <v>12</v>
      </c>
      <c r="J35" s="4"/>
      <c r="K35" s="31"/>
    </row>
    <row r="36" spans="1:11">
      <c r="A36" s="18"/>
      <c r="B36" s="8"/>
      <c r="C36" s="46"/>
      <c r="D36" s="46"/>
      <c r="E36" s="46"/>
      <c r="F36" s="75" t="s">
        <v>13</v>
      </c>
      <c r="G36" s="27">
        <f>ROUNDUP(G35,0)</f>
        <v>24</v>
      </c>
      <c r="H36" s="28" t="s">
        <v>9</v>
      </c>
      <c r="I36" s="9"/>
      <c r="K36" s="31"/>
    </row>
    <row r="37" spans="1:11">
      <c r="A37" s="18"/>
      <c r="B37" s="8"/>
      <c r="C37" s="46"/>
      <c r="D37" s="46"/>
      <c r="E37" s="46"/>
      <c r="F37" s="46"/>
      <c r="G37" s="33"/>
      <c r="H37" s="24"/>
      <c r="I37" s="9"/>
      <c r="K37" s="31"/>
    </row>
    <row r="38" spans="1:11">
      <c r="A38" s="18"/>
      <c r="B38" s="8"/>
      <c r="C38" s="46"/>
      <c r="D38" s="46"/>
      <c r="E38" s="46"/>
      <c r="F38" s="46"/>
      <c r="G38" s="33"/>
      <c r="H38" s="24"/>
      <c r="I38" s="9"/>
      <c r="K38" s="31"/>
    </row>
    <row r="39" spans="1:11">
      <c r="A39" s="18">
        <f>A28+1</f>
        <v>7</v>
      </c>
      <c r="B39" s="9" t="s">
        <v>38</v>
      </c>
      <c r="I39" s="9"/>
      <c r="K39" s="31"/>
    </row>
    <row r="40" spans="1:11">
      <c r="A40" s="18"/>
      <c r="B40" s="46"/>
      <c r="C40" s="1">
        <v>1</v>
      </c>
      <c r="D40" s="5">
        <v>1.5</v>
      </c>
      <c r="E40" s="5">
        <v>0.23</v>
      </c>
      <c r="F40" s="5">
        <v>7.4999999999999997E-2</v>
      </c>
      <c r="G40" s="4">
        <f>C40*D40*E40*F40</f>
        <v>2.5875000000000002E-2</v>
      </c>
      <c r="H40" s="1" t="s">
        <v>12</v>
      </c>
      <c r="I40" s="9"/>
      <c r="K40" s="31"/>
    </row>
    <row r="41" spans="1:11">
      <c r="A41" s="79"/>
      <c r="B41" s="46"/>
      <c r="C41" s="1">
        <v>2</v>
      </c>
      <c r="D41" s="5">
        <v>0.9</v>
      </c>
      <c r="E41" s="5">
        <v>0.23</v>
      </c>
      <c r="F41" s="5">
        <v>7.4999999999999997E-2</v>
      </c>
      <c r="G41" s="4">
        <f>C41*D41*E41*F41</f>
        <v>3.1050000000000001E-2</v>
      </c>
      <c r="H41" s="1" t="s">
        <v>10</v>
      </c>
      <c r="I41" s="9"/>
      <c r="K41" s="31"/>
    </row>
    <row r="42" spans="1:11">
      <c r="A42" s="79"/>
      <c r="B42" s="46"/>
      <c r="C42" s="1">
        <v>4</v>
      </c>
      <c r="D42" s="5">
        <v>0.75</v>
      </c>
      <c r="E42" s="5">
        <v>0.23</v>
      </c>
      <c r="F42" s="5">
        <v>7.4999999999999997E-2</v>
      </c>
      <c r="G42" s="4">
        <f>C42*D42*E42*F42</f>
        <v>5.1750000000000004E-2</v>
      </c>
      <c r="H42" s="1" t="s">
        <v>10</v>
      </c>
      <c r="I42" s="9"/>
      <c r="K42" s="31"/>
    </row>
    <row r="43" spans="1:11">
      <c r="A43" s="79"/>
      <c r="B43" s="46"/>
      <c r="C43" s="1">
        <v>4</v>
      </c>
      <c r="D43" s="5">
        <v>5</v>
      </c>
      <c r="E43" s="5">
        <v>0.45</v>
      </c>
      <c r="F43" s="5">
        <v>0.15</v>
      </c>
      <c r="G43" s="4">
        <f>C43*D43*E43*F43</f>
        <v>1.3499999999999999</v>
      </c>
      <c r="H43" s="1" t="s">
        <v>10</v>
      </c>
      <c r="I43" s="9"/>
      <c r="K43" s="31"/>
    </row>
    <row r="44" spans="1:11">
      <c r="A44" s="13"/>
      <c r="B44" s="9"/>
      <c r="C44" s="1"/>
      <c r="D44" s="5"/>
      <c r="E44" s="68"/>
      <c r="F44" s="5"/>
      <c r="G44" s="4"/>
      <c r="H44" s="1"/>
      <c r="I44" s="9"/>
      <c r="K44" s="31"/>
    </row>
    <row r="45" spans="1:11">
      <c r="A45" s="13"/>
      <c r="B45" s="9"/>
      <c r="C45" s="46"/>
      <c r="D45" s="46"/>
      <c r="E45" s="46"/>
      <c r="F45" s="100" t="s">
        <v>11</v>
      </c>
      <c r="G45" s="53">
        <f>SUM(G40:G44)</f>
        <v>1.4586749999999999</v>
      </c>
      <c r="H45" s="50" t="s">
        <v>12</v>
      </c>
      <c r="J45" s="4"/>
      <c r="K45" s="31"/>
    </row>
    <row r="46" spans="1:11">
      <c r="A46" s="13"/>
      <c r="B46" s="9"/>
      <c r="C46" s="46"/>
      <c r="D46" s="46"/>
      <c r="E46" s="46"/>
      <c r="F46" s="75" t="s">
        <v>13</v>
      </c>
      <c r="G46" s="27">
        <f>ROUNDUP(G45,0)</f>
        <v>2</v>
      </c>
      <c r="H46" s="28" t="s">
        <v>9</v>
      </c>
      <c r="I46" s="9"/>
      <c r="K46" s="31"/>
    </row>
    <row r="47" spans="1:11">
      <c r="A47" s="13"/>
      <c r="B47" s="9"/>
      <c r="C47" s="46"/>
      <c r="D47" s="46"/>
      <c r="E47" s="46"/>
      <c r="F47" s="46"/>
      <c r="G47" s="33"/>
      <c r="H47" s="24"/>
      <c r="I47" s="9"/>
      <c r="K47" s="31"/>
    </row>
    <row r="48" spans="1:11">
      <c r="A48" s="18">
        <f>A39+1</f>
        <v>8</v>
      </c>
      <c r="B48" s="51" t="s">
        <v>413</v>
      </c>
      <c r="C48" s="1"/>
      <c r="D48" s="5"/>
      <c r="E48" s="5"/>
      <c r="F48" s="5"/>
      <c r="G48" s="4"/>
      <c r="H48" s="1"/>
      <c r="I48" s="9"/>
      <c r="J48" s="31"/>
      <c r="K48" s="31"/>
    </row>
    <row r="49" spans="1:11">
      <c r="A49" s="46"/>
      <c r="B49" s="9" t="s">
        <v>67</v>
      </c>
      <c r="C49" s="1">
        <v>6</v>
      </c>
      <c r="D49" s="5">
        <v>1.5</v>
      </c>
      <c r="E49" s="5">
        <v>1.5</v>
      </c>
      <c r="F49" s="5">
        <v>0.45</v>
      </c>
      <c r="G49" s="4">
        <f>C49*D49*E49*F49</f>
        <v>6.0750000000000002</v>
      </c>
      <c r="H49" s="1" t="s">
        <v>12</v>
      </c>
      <c r="I49" s="9"/>
      <c r="J49" s="31"/>
      <c r="K49" s="31"/>
    </row>
    <row r="50" spans="1:11">
      <c r="A50" s="46"/>
      <c r="B50" s="9"/>
      <c r="C50" s="46"/>
      <c r="D50" s="46"/>
      <c r="E50" s="46"/>
      <c r="F50" s="75" t="s">
        <v>13</v>
      </c>
      <c r="G50" s="27">
        <f>ROUNDUP(G49,0)</f>
        <v>7</v>
      </c>
      <c r="H50" s="28" t="s">
        <v>9</v>
      </c>
      <c r="I50" s="9"/>
      <c r="J50" s="31"/>
      <c r="K50" s="31"/>
    </row>
    <row r="51" spans="1:11">
      <c r="A51" s="46"/>
      <c r="B51" s="9"/>
      <c r="C51" s="46"/>
      <c r="D51" s="46"/>
      <c r="E51" s="46"/>
      <c r="F51" s="46"/>
      <c r="G51" s="33"/>
      <c r="H51" s="24"/>
      <c r="I51" s="9"/>
      <c r="J51" s="31"/>
      <c r="K51" s="31"/>
    </row>
    <row r="52" spans="1:11">
      <c r="A52" s="18">
        <f>A48+1</f>
        <v>9</v>
      </c>
      <c r="B52" s="9" t="s">
        <v>48</v>
      </c>
      <c r="C52" s="1"/>
      <c r="D52" s="5"/>
      <c r="E52" s="1"/>
      <c r="F52" s="5"/>
      <c r="G52" s="4"/>
      <c r="H52" s="1"/>
      <c r="I52" s="9"/>
      <c r="J52" s="31"/>
      <c r="K52" s="31"/>
    </row>
    <row r="53" spans="1:11">
      <c r="A53" s="13"/>
      <c r="B53" s="46"/>
      <c r="C53" s="1">
        <v>6</v>
      </c>
      <c r="D53" s="5">
        <v>0.3</v>
      </c>
      <c r="E53" s="5">
        <v>0.45</v>
      </c>
      <c r="F53" s="5">
        <v>0.6</v>
      </c>
      <c r="G53" s="4">
        <f>C53*D53*E53*F53</f>
        <v>0.48599999999999993</v>
      </c>
      <c r="H53" s="1" t="s">
        <v>9</v>
      </c>
      <c r="I53" s="9"/>
      <c r="J53" s="31"/>
      <c r="K53" s="31"/>
    </row>
    <row r="54" spans="1:11">
      <c r="A54" s="13"/>
      <c r="B54" s="46"/>
      <c r="C54" s="1">
        <v>6</v>
      </c>
      <c r="D54" s="5">
        <v>0.23</v>
      </c>
      <c r="E54" s="5">
        <v>0.38</v>
      </c>
      <c r="F54" s="5">
        <v>5.9</v>
      </c>
      <c r="G54" s="4">
        <f>C54*D54*E54*F54</f>
        <v>3.0939600000000005</v>
      </c>
      <c r="H54" s="1" t="s">
        <v>10</v>
      </c>
      <c r="I54" s="9"/>
      <c r="J54" s="31"/>
      <c r="K54" s="31"/>
    </row>
    <row r="55" spans="1:11">
      <c r="A55" s="13"/>
      <c r="B55" s="9"/>
      <c r="C55" s="1"/>
      <c r="D55" s="5"/>
      <c r="E55" s="1"/>
      <c r="F55" s="1"/>
      <c r="G55" s="4"/>
      <c r="H55" s="57"/>
      <c r="I55" s="9"/>
      <c r="J55" s="31"/>
      <c r="K55" s="31"/>
    </row>
    <row r="56" spans="1:11">
      <c r="A56" s="13"/>
      <c r="B56" s="9"/>
      <c r="C56" s="46"/>
      <c r="D56" s="46"/>
      <c r="E56" s="46"/>
      <c r="F56" s="100" t="s">
        <v>11</v>
      </c>
      <c r="G56" s="53">
        <f>SUM(G53:G55)</f>
        <v>3.5799600000000003</v>
      </c>
      <c r="H56" s="50" t="s">
        <v>12</v>
      </c>
      <c r="I56" s="9"/>
      <c r="J56" s="31"/>
      <c r="K56" s="31"/>
    </row>
    <row r="57" spans="1:11">
      <c r="A57" s="13"/>
      <c r="B57" s="6"/>
      <c r="C57" s="46"/>
      <c r="D57" s="46"/>
      <c r="E57" s="46"/>
      <c r="F57" s="75" t="s">
        <v>13</v>
      </c>
      <c r="G57" s="27">
        <f>ROUNDUP(G56,0)</f>
        <v>4</v>
      </c>
      <c r="H57" s="28" t="s">
        <v>9</v>
      </c>
      <c r="I57" s="9"/>
      <c r="J57" s="31"/>
      <c r="K57" s="31"/>
    </row>
    <row r="58" spans="1:11">
      <c r="A58" s="13"/>
      <c r="B58" s="51"/>
      <c r="C58" s="46"/>
      <c r="D58" s="46"/>
      <c r="E58" s="46"/>
      <c r="F58" s="46"/>
      <c r="G58" s="33"/>
      <c r="H58" s="24"/>
      <c r="I58" s="9"/>
      <c r="J58" s="31"/>
      <c r="K58" s="31"/>
    </row>
    <row r="59" spans="1:11">
      <c r="A59" s="13"/>
      <c r="B59" s="51"/>
      <c r="C59" s="46"/>
      <c r="D59" s="46"/>
      <c r="E59" s="46"/>
      <c r="F59" s="46"/>
      <c r="G59" s="33"/>
      <c r="H59" s="24"/>
      <c r="I59" s="9"/>
      <c r="J59" s="31"/>
      <c r="K59" s="31"/>
    </row>
    <row r="60" spans="1:11">
      <c r="A60" s="18">
        <f>A52+1</f>
        <v>10</v>
      </c>
      <c r="B60" s="9" t="s">
        <v>39</v>
      </c>
      <c r="C60" s="1"/>
      <c r="D60" s="5"/>
      <c r="E60" s="1"/>
      <c r="F60" s="5"/>
      <c r="G60" s="4"/>
      <c r="H60" s="1"/>
      <c r="I60" s="9"/>
      <c r="J60" s="31"/>
      <c r="K60" s="31"/>
    </row>
    <row r="61" spans="1:11">
      <c r="A61" s="13"/>
      <c r="B61" s="46"/>
      <c r="C61" s="1">
        <v>2</v>
      </c>
      <c r="D61" s="5">
        <v>14</v>
      </c>
      <c r="E61" s="5">
        <v>0.23</v>
      </c>
      <c r="F61" s="5">
        <v>0.375</v>
      </c>
      <c r="G61" s="4">
        <f>C61*D61*E61*F61</f>
        <v>2.415</v>
      </c>
      <c r="H61" s="1" t="s">
        <v>12</v>
      </c>
      <c r="I61" s="9"/>
      <c r="J61" s="31"/>
      <c r="K61" s="31"/>
    </row>
    <row r="62" spans="1:11">
      <c r="A62" s="13"/>
      <c r="B62" s="46"/>
      <c r="C62" s="1">
        <v>1</v>
      </c>
      <c r="D62" s="5">
        <v>6.5</v>
      </c>
      <c r="E62" s="5">
        <v>0.23</v>
      </c>
      <c r="F62" s="5">
        <v>0.375</v>
      </c>
      <c r="G62" s="4">
        <f>C62*D62*E62*F62</f>
        <v>0.56062500000000004</v>
      </c>
      <c r="H62" s="1" t="s">
        <v>10</v>
      </c>
      <c r="I62" s="9"/>
    </row>
    <row r="63" spans="1:11">
      <c r="A63" s="13"/>
      <c r="B63" s="46"/>
      <c r="C63" s="1">
        <v>5</v>
      </c>
      <c r="D63" s="5">
        <v>6</v>
      </c>
      <c r="E63" s="5">
        <v>0.23</v>
      </c>
      <c r="F63" s="5">
        <v>0.375</v>
      </c>
      <c r="G63" s="4">
        <f>C63*D63*E63*F63</f>
        <v>2.5875000000000004</v>
      </c>
      <c r="H63" s="1" t="s">
        <v>10</v>
      </c>
      <c r="I63" s="9"/>
    </row>
    <row r="64" spans="1:11">
      <c r="A64" s="13"/>
      <c r="B64" s="9"/>
      <c r="C64" s="1"/>
      <c r="D64" s="5"/>
      <c r="E64" s="1"/>
      <c r="F64" s="1"/>
      <c r="G64" s="4"/>
      <c r="H64" s="57"/>
      <c r="I64" s="9"/>
    </row>
    <row r="65" spans="1:13">
      <c r="A65" s="13"/>
      <c r="B65" s="9"/>
      <c r="C65" s="46"/>
      <c r="D65" s="46"/>
      <c r="E65" s="46"/>
      <c r="F65" s="100" t="s">
        <v>11</v>
      </c>
      <c r="G65" s="53">
        <f>SUM(G61:G64)</f>
        <v>5.5631250000000003</v>
      </c>
      <c r="H65" s="50" t="s">
        <v>12</v>
      </c>
      <c r="J65" s="4"/>
    </row>
    <row r="66" spans="1:13">
      <c r="A66" s="13"/>
      <c r="B66" s="6"/>
      <c r="C66" s="46"/>
      <c r="D66" s="46"/>
      <c r="E66" s="46"/>
      <c r="F66" s="75" t="s">
        <v>13</v>
      </c>
      <c r="G66" s="27">
        <f>ROUNDUP(G65,0)</f>
        <v>6</v>
      </c>
      <c r="H66" s="28" t="s">
        <v>9</v>
      </c>
      <c r="I66" s="9"/>
      <c r="J66" s="4"/>
    </row>
    <row r="67" spans="1:13">
      <c r="A67" s="13"/>
      <c r="B67" s="6"/>
      <c r="C67" s="46"/>
      <c r="D67" s="46"/>
      <c r="E67" s="46"/>
      <c r="F67" s="46"/>
      <c r="G67" s="33"/>
      <c r="H67" s="24"/>
      <c r="I67" s="9"/>
      <c r="J67" s="4"/>
    </row>
    <row r="68" spans="1:13">
      <c r="A68" s="18">
        <f>A60+1</f>
        <v>11</v>
      </c>
      <c r="B68" s="9" t="s">
        <v>32</v>
      </c>
      <c r="C68" s="46"/>
      <c r="D68" s="46"/>
      <c r="E68" s="46"/>
      <c r="F68" s="46"/>
      <c r="G68" s="33"/>
      <c r="H68" s="24"/>
      <c r="I68" s="9"/>
      <c r="J68" s="4"/>
    </row>
    <row r="69" spans="1:13">
      <c r="A69" s="79"/>
      <c r="B69" s="46"/>
      <c r="C69" s="1">
        <v>1</v>
      </c>
      <c r="D69" s="5">
        <v>6</v>
      </c>
      <c r="E69" s="5">
        <v>0.115</v>
      </c>
      <c r="F69" s="5">
        <v>0.15</v>
      </c>
      <c r="G69" s="4">
        <f>C69*D69*E69*F69</f>
        <v>0.10350000000000001</v>
      </c>
      <c r="H69" s="1" t="s">
        <v>12</v>
      </c>
      <c r="I69" s="9"/>
      <c r="J69" s="1"/>
      <c r="K69" s="5"/>
      <c r="L69" s="5"/>
      <c r="M69" s="5"/>
    </row>
    <row r="70" spans="1:13">
      <c r="A70" s="79"/>
      <c r="B70" s="46"/>
      <c r="C70" s="1">
        <v>1</v>
      </c>
      <c r="D70" s="5">
        <v>6.5</v>
      </c>
      <c r="E70" s="5">
        <v>0.115</v>
      </c>
      <c r="F70" s="5">
        <v>0.15</v>
      </c>
      <c r="G70" s="4">
        <f>C70*D70*E70*F70</f>
        <v>0.112125</v>
      </c>
      <c r="H70" s="1" t="s">
        <v>10</v>
      </c>
      <c r="I70" s="9"/>
      <c r="J70" s="1"/>
      <c r="K70" s="5"/>
      <c r="L70" s="5"/>
      <c r="M70" s="5"/>
    </row>
    <row r="71" spans="1:13">
      <c r="A71" s="79"/>
      <c r="B71" s="46"/>
      <c r="C71" s="1"/>
      <c r="D71" s="5"/>
      <c r="E71" s="1"/>
      <c r="F71" s="5"/>
      <c r="G71" s="4"/>
      <c r="H71" s="1"/>
      <c r="I71" s="9"/>
      <c r="J71" s="4"/>
    </row>
    <row r="72" spans="1:13">
      <c r="A72" s="79"/>
      <c r="B72" s="74"/>
      <c r="C72" s="1"/>
      <c r="D72" s="5"/>
      <c r="E72" s="1"/>
      <c r="F72" s="100" t="s">
        <v>11</v>
      </c>
      <c r="G72" s="53">
        <f>SUM(G69:G71)</f>
        <v>0.21562500000000001</v>
      </c>
      <c r="H72" s="50" t="s">
        <v>12</v>
      </c>
      <c r="I72" s="9"/>
      <c r="J72" s="4"/>
    </row>
    <row r="73" spans="1:13">
      <c r="A73" s="13"/>
      <c r="B73" s="9"/>
      <c r="C73" s="46"/>
      <c r="D73" s="46"/>
      <c r="E73" s="46"/>
      <c r="F73" s="75" t="s">
        <v>13</v>
      </c>
      <c r="G73" s="27">
        <f>ROUNDUP(G72,0)</f>
        <v>1</v>
      </c>
      <c r="H73" s="28" t="s">
        <v>9</v>
      </c>
      <c r="I73" s="9"/>
      <c r="J73" s="4"/>
    </row>
    <row r="74" spans="1:13">
      <c r="A74" s="13"/>
      <c r="B74" s="9"/>
      <c r="C74" s="46"/>
      <c r="D74" s="46"/>
      <c r="E74" s="46"/>
      <c r="F74" s="46"/>
      <c r="G74" s="33"/>
      <c r="H74" s="24"/>
      <c r="I74" s="9"/>
      <c r="J74" s="4"/>
    </row>
    <row r="75" spans="1:13">
      <c r="A75" s="18">
        <f>A68+1</f>
        <v>12</v>
      </c>
      <c r="B75" s="9" t="s">
        <v>58</v>
      </c>
      <c r="C75" s="1"/>
      <c r="D75" s="5"/>
      <c r="E75" s="1"/>
      <c r="F75" s="5"/>
      <c r="G75" s="4"/>
      <c r="H75" s="1"/>
      <c r="I75" s="9"/>
      <c r="J75" s="4"/>
    </row>
    <row r="76" spans="1:13">
      <c r="A76" s="13"/>
      <c r="B76" s="46"/>
      <c r="C76" s="1">
        <v>2</v>
      </c>
      <c r="D76" s="5">
        <v>7.5</v>
      </c>
      <c r="E76" s="5">
        <v>0.23</v>
      </c>
      <c r="F76" s="5">
        <v>0.45</v>
      </c>
      <c r="G76" s="4">
        <f>C76*D76*E76*F76</f>
        <v>1.5525000000000002</v>
      </c>
      <c r="H76" s="1" t="s">
        <v>12</v>
      </c>
      <c r="I76" s="9"/>
      <c r="J76" s="4"/>
    </row>
    <row r="77" spans="1:13">
      <c r="A77" s="13"/>
      <c r="B77" s="46"/>
      <c r="C77" s="1">
        <v>3</v>
      </c>
      <c r="D77" s="5">
        <v>6</v>
      </c>
      <c r="E77" s="5">
        <v>0.23</v>
      </c>
      <c r="F77" s="5">
        <v>0.45</v>
      </c>
      <c r="G77" s="4">
        <f>C77*D77*E77*F77</f>
        <v>1.8630000000000002</v>
      </c>
      <c r="H77" s="1" t="s">
        <v>10</v>
      </c>
      <c r="I77" s="9"/>
      <c r="J77" s="4"/>
    </row>
    <row r="78" spans="1:13">
      <c r="A78" s="13"/>
      <c r="B78" s="9"/>
      <c r="C78" s="1"/>
      <c r="D78" s="5"/>
      <c r="E78" s="1"/>
      <c r="F78" s="1"/>
      <c r="G78" s="4"/>
      <c r="H78" s="57"/>
      <c r="I78" s="9"/>
      <c r="J78" s="4"/>
      <c r="K78" s="31"/>
    </row>
    <row r="79" spans="1:13">
      <c r="A79" s="13"/>
      <c r="B79" s="9"/>
      <c r="C79" s="46"/>
      <c r="D79" s="46"/>
      <c r="E79" s="46"/>
      <c r="F79" s="100" t="s">
        <v>11</v>
      </c>
      <c r="G79" s="53">
        <f>SUM(G76:G78)</f>
        <v>3.4155000000000006</v>
      </c>
      <c r="H79" s="50" t="s">
        <v>12</v>
      </c>
      <c r="I79" s="9"/>
      <c r="J79" s="4"/>
      <c r="K79" s="31"/>
    </row>
    <row r="80" spans="1:13">
      <c r="A80" s="13"/>
      <c r="B80" s="6"/>
      <c r="C80" s="46"/>
      <c r="D80" s="46"/>
      <c r="E80" s="46"/>
      <c r="F80" s="75" t="s">
        <v>13</v>
      </c>
      <c r="G80" s="27">
        <f>ROUNDUP(G79,0)</f>
        <v>4</v>
      </c>
      <c r="H80" s="28" t="s">
        <v>9</v>
      </c>
      <c r="I80" s="9"/>
      <c r="J80" s="4"/>
      <c r="K80" s="31"/>
    </row>
    <row r="81" spans="1:11">
      <c r="A81" s="13"/>
      <c r="B81" s="6"/>
      <c r="C81" s="46"/>
      <c r="D81" s="46"/>
      <c r="E81" s="46"/>
      <c r="F81" s="46"/>
      <c r="G81" s="33"/>
      <c r="H81" s="24"/>
      <c r="I81" s="9"/>
      <c r="J81" s="4"/>
      <c r="K81" s="31"/>
    </row>
    <row r="82" spans="1:11" ht="27.6">
      <c r="A82" s="18">
        <f>A75+1</f>
        <v>13</v>
      </c>
      <c r="B82" s="6" t="s">
        <v>54</v>
      </c>
      <c r="C82" s="1"/>
      <c r="D82" s="5"/>
      <c r="E82" s="1"/>
      <c r="F82" s="5"/>
      <c r="G82" s="4"/>
      <c r="H82" s="1"/>
      <c r="I82" s="9"/>
      <c r="J82" s="4"/>
      <c r="K82" s="31"/>
    </row>
    <row r="83" spans="1:11">
      <c r="A83" s="13"/>
      <c r="B83" s="46"/>
      <c r="C83" s="1">
        <v>2</v>
      </c>
      <c r="D83" s="5">
        <v>1.5</v>
      </c>
      <c r="E83" s="5">
        <v>0.75</v>
      </c>
      <c r="F83" s="5">
        <v>0.1</v>
      </c>
      <c r="G83" s="4">
        <f>C83*D83*E83*F83</f>
        <v>0.22500000000000001</v>
      </c>
      <c r="H83" s="1" t="s">
        <v>12</v>
      </c>
      <c r="I83" s="9"/>
      <c r="J83" s="4"/>
      <c r="K83" s="31"/>
    </row>
    <row r="84" spans="1:11">
      <c r="A84" s="13"/>
      <c r="B84" s="6"/>
      <c r="C84" s="46"/>
      <c r="D84" s="46"/>
      <c r="E84" s="46"/>
      <c r="F84" s="75" t="s">
        <v>13</v>
      </c>
      <c r="G84" s="27">
        <f>ROUNDUP(G83,0)</f>
        <v>1</v>
      </c>
      <c r="H84" s="28" t="s">
        <v>9</v>
      </c>
      <c r="I84" s="9"/>
      <c r="J84" s="4"/>
      <c r="K84" s="31"/>
    </row>
    <row r="85" spans="1:11">
      <c r="A85" s="13"/>
      <c r="B85" s="9"/>
      <c r="C85" s="46"/>
      <c r="D85" s="46"/>
      <c r="E85" s="46"/>
      <c r="F85" s="46"/>
      <c r="G85" s="33"/>
      <c r="H85" s="24"/>
      <c r="I85" s="9"/>
      <c r="J85" s="4"/>
      <c r="K85" s="31"/>
    </row>
    <row r="86" spans="1:11">
      <c r="A86" s="13"/>
      <c r="B86" s="9"/>
      <c r="C86" s="46"/>
      <c r="D86" s="46"/>
      <c r="E86" s="46"/>
      <c r="F86" s="46"/>
      <c r="G86" s="33"/>
      <c r="H86" s="24"/>
      <c r="I86" s="9"/>
      <c r="J86" s="4"/>
      <c r="K86" s="31"/>
    </row>
    <row r="87" spans="1:11">
      <c r="A87" s="18"/>
      <c r="B87" s="44" t="s">
        <v>123</v>
      </c>
      <c r="C87" s="46"/>
      <c r="D87" s="46"/>
      <c r="E87" s="46"/>
      <c r="F87" s="46"/>
      <c r="G87" s="33"/>
      <c r="H87" s="24"/>
      <c r="I87" s="9"/>
      <c r="J87" s="4"/>
      <c r="K87" s="31"/>
    </row>
    <row r="88" spans="1:11">
      <c r="A88" s="18">
        <f>A82+1</f>
        <v>14</v>
      </c>
      <c r="B88" s="9" t="s">
        <v>71</v>
      </c>
      <c r="C88" s="46"/>
      <c r="D88" s="46"/>
      <c r="E88" s="46"/>
      <c r="F88" s="5"/>
      <c r="G88" s="33"/>
      <c r="H88" s="24"/>
      <c r="I88" s="9"/>
      <c r="J88" s="4"/>
      <c r="K88" s="31"/>
    </row>
    <row r="89" spans="1:11">
      <c r="A89" s="13"/>
      <c r="B89" s="46"/>
      <c r="C89" s="1">
        <v>6</v>
      </c>
      <c r="D89" s="5">
        <f>1.5*4</f>
        <v>6</v>
      </c>
      <c r="E89" s="5"/>
      <c r="F89" s="5">
        <v>0.45</v>
      </c>
      <c r="G89" s="4">
        <f>C89*D89*F89</f>
        <v>16.2</v>
      </c>
      <c r="H89" s="1" t="s">
        <v>17</v>
      </c>
      <c r="I89" s="9"/>
      <c r="J89" s="4"/>
      <c r="K89" s="31"/>
    </row>
    <row r="90" spans="1:11">
      <c r="A90" s="13"/>
      <c r="B90" s="9"/>
      <c r="C90" s="46"/>
      <c r="D90" s="46"/>
      <c r="E90" s="46"/>
      <c r="F90" s="75" t="s">
        <v>13</v>
      </c>
      <c r="G90" s="27">
        <f>ROUNDUP(G89,0)</f>
        <v>17</v>
      </c>
      <c r="H90" s="28" t="s">
        <v>17</v>
      </c>
      <c r="I90" s="9"/>
      <c r="J90" s="4"/>
      <c r="K90" s="31"/>
    </row>
    <row r="91" spans="1:11">
      <c r="A91" s="18"/>
      <c r="B91" s="8"/>
      <c r="C91" s="46"/>
      <c r="D91" s="46"/>
      <c r="E91" s="46"/>
      <c r="F91" s="46"/>
      <c r="G91" s="33"/>
      <c r="H91" s="24"/>
      <c r="I91" s="9"/>
      <c r="J91" s="4"/>
      <c r="K91" s="31"/>
    </row>
    <row r="92" spans="1:11">
      <c r="A92" s="18">
        <f>A88+1</f>
        <v>15</v>
      </c>
      <c r="B92" s="9" t="s">
        <v>48</v>
      </c>
      <c r="C92" s="46"/>
      <c r="D92" s="46"/>
      <c r="E92" s="46"/>
      <c r="F92" s="5"/>
      <c r="G92" s="33"/>
      <c r="H92" s="24"/>
      <c r="I92" s="9"/>
      <c r="J92" s="4"/>
    </row>
    <row r="93" spans="1:11">
      <c r="A93" s="13"/>
      <c r="B93" s="46"/>
      <c r="C93" s="1">
        <v>6</v>
      </c>
      <c r="D93" s="5">
        <f>0.3+0.45+0.45+0.3</f>
        <v>1.5</v>
      </c>
      <c r="E93" s="5"/>
      <c r="F93" s="5">
        <v>0.6</v>
      </c>
      <c r="G93" s="4">
        <f>C93*D93*F93</f>
        <v>5.3999999999999995</v>
      </c>
      <c r="H93" s="1" t="s">
        <v>17</v>
      </c>
      <c r="I93" s="9"/>
      <c r="J93" s="4"/>
    </row>
    <row r="94" spans="1:11">
      <c r="A94" s="13"/>
      <c r="B94" s="46"/>
      <c r="C94" s="1">
        <v>6</v>
      </c>
      <c r="D94" s="5">
        <f>0.23+0.375+0.23+0.375</f>
        <v>1.21</v>
      </c>
      <c r="E94" s="5"/>
      <c r="F94" s="5">
        <v>5.9</v>
      </c>
      <c r="G94" s="4">
        <f>C94*D94*F94</f>
        <v>42.834000000000003</v>
      </c>
      <c r="H94" s="1" t="s">
        <v>10</v>
      </c>
      <c r="I94" s="9"/>
      <c r="J94" s="4"/>
    </row>
    <row r="95" spans="1:11">
      <c r="A95" s="13"/>
      <c r="B95" s="9"/>
      <c r="C95" s="1"/>
      <c r="D95" s="5"/>
      <c r="E95" s="1"/>
      <c r="F95" s="1"/>
      <c r="G95" s="4"/>
      <c r="H95" s="57"/>
      <c r="I95" s="9"/>
      <c r="J95" s="4"/>
    </row>
    <row r="96" spans="1:11">
      <c r="A96" s="13"/>
      <c r="B96" s="9"/>
      <c r="C96" s="46"/>
      <c r="D96" s="46"/>
      <c r="E96" s="46"/>
      <c r="F96" s="100" t="s">
        <v>11</v>
      </c>
      <c r="G96" s="53">
        <f>SUM(G93:G95)</f>
        <v>48.234000000000002</v>
      </c>
      <c r="H96" s="50" t="s">
        <v>17</v>
      </c>
      <c r="I96" s="9"/>
      <c r="J96" s="4"/>
    </row>
    <row r="97" spans="1:14">
      <c r="A97" s="13"/>
      <c r="B97" s="9"/>
      <c r="C97" s="46"/>
      <c r="D97" s="46"/>
      <c r="E97" s="46"/>
      <c r="F97" s="75" t="s">
        <v>13</v>
      </c>
      <c r="G97" s="27">
        <f>ROUNDUP(G96,0)</f>
        <v>49</v>
      </c>
      <c r="H97" s="28" t="s">
        <v>17</v>
      </c>
      <c r="I97" s="9"/>
      <c r="J97" s="4"/>
    </row>
    <row r="98" spans="1:14">
      <c r="A98" s="13"/>
      <c r="B98" s="9"/>
      <c r="C98" s="46"/>
      <c r="D98" s="46"/>
      <c r="E98" s="46"/>
      <c r="F98" s="46"/>
      <c r="G98" s="33"/>
      <c r="H98" s="24"/>
      <c r="I98" s="9"/>
      <c r="J98" s="4"/>
    </row>
    <row r="99" spans="1:14">
      <c r="A99" s="13"/>
      <c r="B99" s="9"/>
      <c r="C99" s="46"/>
      <c r="D99" s="46"/>
      <c r="E99" s="46"/>
      <c r="F99" s="46"/>
      <c r="G99" s="33"/>
      <c r="H99" s="24"/>
      <c r="I99" s="9"/>
      <c r="J99" s="4"/>
    </row>
    <row r="100" spans="1:14">
      <c r="A100" s="18">
        <f>A92+1</f>
        <v>16</v>
      </c>
      <c r="B100" s="8" t="s">
        <v>39</v>
      </c>
      <c r="C100" s="46"/>
      <c r="D100" s="46"/>
      <c r="E100" s="46"/>
      <c r="F100" s="5"/>
      <c r="G100" s="33"/>
      <c r="H100" s="24"/>
      <c r="I100" s="9"/>
      <c r="J100" s="4"/>
    </row>
    <row r="101" spans="1:14">
      <c r="A101" s="13"/>
      <c r="B101" s="46"/>
      <c r="C101" s="1">
        <v>2</v>
      </c>
      <c r="D101" s="5">
        <v>7.5</v>
      </c>
      <c r="E101" s="5"/>
      <c r="F101" s="5">
        <f>0.23+0.375+0.375</f>
        <v>0.98</v>
      </c>
      <c r="G101" s="4">
        <f>C101*D101*F101</f>
        <v>14.7</v>
      </c>
      <c r="H101" s="1" t="s">
        <v>17</v>
      </c>
      <c r="I101" s="9"/>
      <c r="J101" s="4"/>
    </row>
    <row r="102" spans="1:14">
      <c r="A102" s="13"/>
      <c r="B102" s="46"/>
      <c r="C102" s="1">
        <v>3</v>
      </c>
      <c r="D102" s="5">
        <v>6</v>
      </c>
      <c r="E102" s="5"/>
      <c r="F102" s="5">
        <f>0.23+0.375+0.375</f>
        <v>0.98</v>
      </c>
      <c r="G102" s="4">
        <f>C102*D102*F102</f>
        <v>17.64</v>
      </c>
      <c r="H102" s="1" t="s">
        <v>10</v>
      </c>
      <c r="I102" s="9"/>
      <c r="J102" s="4"/>
    </row>
    <row r="103" spans="1:14">
      <c r="A103" s="13"/>
      <c r="B103" s="9"/>
      <c r="C103" s="1"/>
      <c r="D103" s="5"/>
      <c r="E103" s="1"/>
      <c r="F103" s="1"/>
      <c r="G103" s="4"/>
      <c r="H103" s="57"/>
      <c r="I103" s="9"/>
      <c r="J103" s="4"/>
    </row>
    <row r="104" spans="1:14">
      <c r="A104" s="13"/>
      <c r="B104" s="9"/>
      <c r="C104" s="46"/>
      <c r="D104" s="46"/>
      <c r="E104" s="46"/>
      <c r="F104" s="100" t="s">
        <v>11</v>
      </c>
      <c r="G104" s="53">
        <f>SUM(G101:G103)</f>
        <v>32.340000000000003</v>
      </c>
      <c r="H104" s="50" t="s">
        <v>17</v>
      </c>
      <c r="I104" s="9"/>
      <c r="J104" s="4"/>
    </row>
    <row r="105" spans="1:14">
      <c r="A105" s="13"/>
      <c r="B105" s="9"/>
      <c r="C105" s="46"/>
      <c r="D105" s="46"/>
      <c r="E105" s="46"/>
      <c r="F105" s="75" t="s">
        <v>13</v>
      </c>
      <c r="G105" s="27">
        <f>ROUNDUP(G104,0)</f>
        <v>33</v>
      </c>
      <c r="H105" s="28" t="s">
        <v>17</v>
      </c>
      <c r="I105" s="9"/>
      <c r="J105" s="4"/>
    </row>
    <row r="106" spans="1:14">
      <c r="A106" s="13"/>
      <c r="B106" s="9"/>
      <c r="C106" s="46"/>
      <c r="D106" s="46"/>
      <c r="E106" s="46"/>
      <c r="F106" s="46"/>
      <c r="G106" s="33"/>
      <c r="H106" s="24"/>
      <c r="I106" s="9"/>
      <c r="J106" s="46"/>
      <c r="K106" s="1"/>
      <c r="L106" s="5"/>
      <c r="M106" s="1"/>
      <c r="N106" s="5"/>
    </row>
    <row r="107" spans="1:14">
      <c r="A107" s="13"/>
      <c r="B107" s="9"/>
      <c r="C107" s="46"/>
      <c r="D107" s="46"/>
      <c r="E107" s="46"/>
      <c r="F107" s="46"/>
      <c r="G107" s="33"/>
      <c r="H107" s="24"/>
      <c r="I107" s="9"/>
      <c r="J107" s="46"/>
      <c r="K107" s="1"/>
      <c r="L107" s="5"/>
      <c r="M107" s="1"/>
      <c r="N107" s="5"/>
    </row>
    <row r="108" spans="1:14">
      <c r="A108" s="18">
        <f>A100+1</f>
        <v>17</v>
      </c>
      <c r="B108" s="9" t="s">
        <v>32</v>
      </c>
      <c r="C108" s="46"/>
      <c r="D108" s="46"/>
      <c r="E108" s="46"/>
      <c r="F108" s="46"/>
      <c r="G108" s="33"/>
      <c r="H108" s="24"/>
      <c r="I108" s="9"/>
      <c r="J108" s="46"/>
      <c r="K108" s="1"/>
      <c r="L108" s="5"/>
      <c r="M108" s="1"/>
      <c r="N108" s="5"/>
    </row>
    <row r="109" spans="1:14">
      <c r="A109" s="13"/>
      <c r="B109" s="46" t="s">
        <v>28</v>
      </c>
      <c r="C109" s="1">
        <v>1</v>
      </c>
      <c r="D109" s="5">
        <v>6</v>
      </c>
      <c r="E109" s="5"/>
      <c r="F109" s="5">
        <f>0.15+0.15+0.115</f>
        <v>0.41499999999999998</v>
      </c>
      <c r="G109" s="4">
        <f>C109*D109*F109</f>
        <v>2.4899999999999998</v>
      </c>
      <c r="H109" s="1" t="s">
        <v>47</v>
      </c>
      <c r="I109" s="9"/>
      <c r="J109" s="46"/>
      <c r="K109" s="1"/>
      <c r="L109" s="5"/>
      <c r="M109" s="5"/>
      <c r="N109" s="5"/>
    </row>
    <row r="110" spans="1:14">
      <c r="A110" s="13"/>
      <c r="B110" s="46"/>
      <c r="C110" s="1">
        <v>1</v>
      </c>
      <c r="D110" s="5">
        <v>6.5</v>
      </c>
      <c r="E110" s="5"/>
      <c r="F110" s="5">
        <f>0.15+0.15+0.115</f>
        <v>0.41499999999999998</v>
      </c>
      <c r="G110" s="4">
        <f>C110*D110*F110</f>
        <v>2.6974999999999998</v>
      </c>
      <c r="H110" s="1" t="s">
        <v>10</v>
      </c>
      <c r="I110" s="9"/>
      <c r="J110" s="4"/>
    </row>
    <row r="111" spans="1:14">
      <c r="A111" s="13"/>
      <c r="B111" s="46"/>
      <c r="C111" s="1"/>
      <c r="D111" s="5"/>
      <c r="E111" s="5"/>
      <c r="F111" s="5"/>
      <c r="G111" s="4"/>
      <c r="H111" s="24"/>
      <c r="I111" s="9"/>
      <c r="J111" s="4"/>
    </row>
    <row r="112" spans="1:14">
      <c r="A112" s="13"/>
      <c r="B112" s="9"/>
      <c r="C112" s="46"/>
      <c r="D112" s="46"/>
      <c r="E112" s="46"/>
      <c r="F112" s="70" t="s">
        <v>11</v>
      </c>
      <c r="G112" s="53">
        <f>SUM(G109:G110)</f>
        <v>5.1875</v>
      </c>
      <c r="H112" s="50" t="s">
        <v>17</v>
      </c>
      <c r="I112" s="9"/>
      <c r="J112" s="4"/>
    </row>
    <row r="113" spans="1:11">
      <c r="A113" s="13"/>
      <c r="B113" s="9"/>
      <c r="C113" s="46"/>
      <c r="D113" s="46"/>
      <c r="E113" s="46"/>
      <c r="F113" s="69" t="s">
        <v>13</v>
      </c>
      <c r="G113" s="27">
        <f>ROUNDUP(G112,0)</f>
        <v>6</v>
      </c>
      <c r="H113" s="28" t="s">
        <v>17</v>
      </c>
      <c r="I113" s="9"/>
      <c r="J113" s="4"/>
    </row>
    <row r="114" spans="1:11">
      <c r="A114" s="13"/>
      <c r="B114" s="9"/>
      <c r="C114" s="46"/>
      <c r="D114" s="46"/>
      <c r="E114" s="46"/>
      <c r="F114" s="9"/>
      <c r="G114" s="33"/>
      <c r="H114" s="24"/>
      <c r="I114" s="9"/>
      <c r="J114" s="4"/>
    </row>
    <row r="115" spans="1:11">
      <c r="A115" s="18">
        <f>A108+1</f>
        <v>18</v>
      </c>
      <c r="B115" s="8" t="s">
        <v>58</v>
      </c>
      <c r="C115" s="46"/>
      <c r="D115" s="46"/>
      <c r="E115" s="46"/>
      <c r="F115" s="5"/>
      <c r="G115" s="33"/>
      <c r="H115" s="1"/>
      <c r="I115" s="9"/>
      <c r="J115" s="4"/>
    </row>
    <row r="116" spans="1:11">
      <c r="A116" s="13"/>
      <c r="B116" s="46"/>
      <c r="C116" s="1">
        <v>2</v>
      </c>
      <c r="D116" s="5">
        <v>7.5</v>
      </c>
      <c r="E116" s="5"/>
      <c r="F116" s="5">
        <f>0.23+0.375+0.375</f>
        <v>0.98</v>
      </c>
      <c r="G116" s="4">
        <f>C116*D116*F116</f>
        <v>14.7</v>
      </c>
      <c r="H116" s="1" t="s">
        <v>17</v>
      </c>
      <c r="I116" s="9"/>
      <c r="J116" s="4"/>
    </row>
    <row r="117" spans="1:11">
      <c r="A117" s="13"/>
      <c r="B117" s="46"/>
      <c r="C117" s="1">
        <v>3</v>
      </c>
      <c r="D117" s="5">
        <v>6</v>
      </c>
      <c r="E117" s="5"/>
      <c r="F117" s="5">
        <f>0.23+0.375+0.375</f>
        <v>0.98</v>
      </c>
      <c r="G117" s="4">
        <f>C117*D117*F117</f>
        <v>17.64</v>
      </c>
      <c r="H117" s="24" t="s">
        <v>10</v>
      </c>
      <c r="I117" s="9"/>
      <c r="J117" s="4"/>
    </row>
    <row r="118" spans="1:11">
      <c r="A118" s="13"/>
      <c r="B118" s="9"/>
      <c r="C118" s="1"/>
      <c r="D118" s="5"/>
      <c r="E118" s="1"/>
      <c r="F118" s="1"/>
      <c r="G118" s="4"/>
      <c r="H118" s="24"/>
      <c r="I118" s="9"/>
      <c r="J118" s="4"/>
    </row>
    <row r="119" spans="1:11">
      <c r="A119" s="13"/>
      <c r="B119" s="9"/>
      <c r="C119" s="46"/>
      <c r="D119" s="46"/>
      <c r="E119" s="46"/>
      <c r="F119" s="100" t="s">
        <v>11</v>
      </c>
      <c r="G119" s="53">
        <f>SUM(G116:G118)</f>
        <v>32.340000000000003</v>
      </c>
      <c r="H119" s="50" t="s">
        <v>17</v>
      </c>
      <c r="I119" s="9"/>
      <c r="J119" s="4"/>
    </row>
    <row r="120" spans="1:11">
      <c r="A120" s="13"/>
      <c r="B120" s="9"/>
      <c r="C120" s="46"/>
      <c r="D120" s="46"/>
      <c r="E120" s="46"/>
      <c r="F120" s="75" t="s">
        <v>13</v>
      </c>
      <c r="G120" s="27">
        <f>ROUNDUP(G119,0)</f>
        <v>33</v>
      </c>
      <c r="H120" s="28" t="s">
        <v>17</v>
      </c>
      <c r="I120" s="9"/>
      <c r="J120" s="4"/>
    </row>
    <row r="121" spans="1:11">
      <c r="A121" s="13"/>
      <c r="B121" s="9"/>
      <c r="C121" s="46"/>
      <c r="D121" s="46"/>
      <c r="E121" s="46"/>
      <c r="F121" s="9"/>
      <c r="G121" s="33"/>
      <c r="H121" s="24"/>
      <c r="I121" s="9"/>
      <c r="J121" s="4"/>
    </row>
    <row r="122" spans="1:11">
      <c r="A122" s="18">
        <f>A115+1</f>
        <v>19</v>
      </c>
      <c r="B122" s="8" t="s">
        <v>129</v>
      </c>
      <c r="C122" s="46"/>
      <c r="D122" s="46"/>
      <c r="E122" s="46"/>
      <c r="F122" s="5"/>
      <c r="G122" s="33"/>
      <c r="H122" s="1"/>
      <c r="I122" s="9"/>
      <c r="J122" s="4"/>
    </row>
    <row r="123" spans="1:11">
      <c r="A123" s="13"/>
      <c r="B123" s="46"/>
      <c r="C123" s="1">
        <v>2</v>
      </c>
      <c r="D123" s="5">
        <v>1.5</v>
      </c>
      <c r="E123" s="5">
        <v>0.75</v>
      </c>
      <c r="G123" s="4">
        <f>C123*D123*E123</f>
        <v>2.25</v>
      </c>
      <c r="H123" s="1" t="s">
        <v>17</v>
      </c>
      <c r="I123" s="9"/>
      <c r="J123" s="4"/>
    </row>
    <row r="124" spans="1:11">
      <c r="A124" s="13"/>
      <c r="B124" s="9"/>
      <c r="C124" s="46"/>
      <c r="D124" s="46"/>
      <c r="E124" s="46"/>
      <c r="F124" s="75" t="s">
        <v>13</v>
      </c>
      <c r="G124" s="27">
        <f>ROUNDUP(G123,0)</f>
        <v>3</v>
      </c>
      <c r="H124" s="28" t="s">
        <v>17</v>
      </c>
      <c r="I124" s="9"/>
      <c r="J124" s="4"/>
      <c r="K124" s="31"/>
    </row>
    <row r="125" spans="1:11">
      <c r="A125" s="13"/>
      <c r="B125" s="9"/>
      <c r="C125" s="46"/>
      <c r="D125" s="46"/>
      <c r="E125" s="46"/>
      <c r="F125" s="46"/>
      <c r="G125" s="33"/>
      <c r="H125" s="24"/>
      <c r="I125" s="9"/>
      <c r="J125" s="4"/>
      <c r="K125" s="31"/>
    </row>
    <row r="126" spans="1:11">
      <c r="A126" s="18">
        <f>A122+1</f>
        <v>20</v>
      </c>
      <c r="B126" s="9" t="s">
        <v>40</v>
      </c>
      <c r="C126" s="9"/>
      <c r="D126" s="9"/>
      <c r="E126" s="9"/>
      <c r="F126" s="9"/>
      <c r="G126" s="9"/>
      <c r="H126" s="9"/>
      <c r="I126" s="9"/>
      <c r="J126" s="4"/>
      <c r="K126" s="31"/>
    </row>
    <row r="127" spans="1:11">
      <c r="A127" s="18"/>
      <c r="B127" s="9" t="s">
        <v>79</v>
      </c>
      <c r="C127" s="5">
        <f>G50</f>
        <v>7</v>
      </c>
      <c r="D127" s="1" t="s">
        <v>18</v>
      </c>
      <c r="E127" s="5">
        <v>75</v>
      </c>
      <c r="F127" s="46"/>
      <c r="G127" s="4">
        <f t="shared" ref="G127:G132" si="0">C127*E127</f>
        <v>525</v>
      </c>
      <c r="H127" s="1" t="s">
        <v>19</v>
      </c>
      <c r="I127" s="9"/>
      <c r="J127" s="4"/>
      <c r="K127" s="31"/>
    </row>
    <row r="128" spans="1:11">
      <c r="A128" s="82"/>
      <c r="B128" s="9" t="s">
        <v>50</v>
      </c>
      <c r="C128" s="5">
        <f>G57</f>
        <v>4</v>
      </c>
      <c r="D128" s="1" t="s">
        <v>18</v>
      </c>
      <c r="E128" s="5">
        <v>150</v>
      </c>
      <c r="F128" s="46"/>
      <c r="G128" s="4">
        <f t="shared" si="0"/>
        <v>600</v>
      </c>
      <c r="H128" s="1" t="s">
        <v>10</v>
      </c>
      <c r="I128" s="9"/>
      <c r="J128" s="4"/>
      <c r="K128" s="31"/>
    </row>
    <row r="129" spans="1:11">
      <c r="A129" s="11"/>
      <c r="B129" s="9" t="s">
        <v>26</v>
      </c>
      <c r="C129" s="5">
        <f>G66</f>
        <v>6</v>
      </c>
      <c r="D129" s="1" t="s">
        <v>18</v>
      </c>
      <c r="E129" s="5">
        <v>150</v>
      </c>
      <c r="F129" s="46"/>
      <c r="G129" s="4">
        <f t="shared" si="0"/>
        <v>900</v>
      </c>
      <c r="H129" s="1" t="s">
        <v>10</v>
      </c>
      <c r="I129" s="9"/>
      <c r="J129" s="4"/>
      <c r="K129" s="31"/>
    </row>
    <row r="130" spans="1:11">
      <c r="A130" s="11"/>
      <c r="B130" s="9" t="s">
        <v>32</v>
      </c>
      <c r="C130" s="5">
        <f>G73</f>
        <v>1</v>
      </c>
      <c r="D130" s="1" t="s">
        <v>18</v>
      </c>
      <c r="E130" s="5">
        <v>100</v>
      </c>
      <c r="F130" s="46"/>
      <c r="G130" s="4">
        <f t="shared" si="0"/>
        <v>100</v>
      </c>
      <c r="H130" s="1" t="s">
        <v>10</v>
      </c>
      <c r="I130" s="9"/>
      <c r="J130" s="4"/>
      <c r="K130" s="31"/>
    </row>
    <row r="131" spans="1:11">
      <c r="A131" s="11"/>
      <c r="B131" s="9" t="s">
        <v>59</v>
      </c>
      <c r="C131" s="5">
        <f>G80</f>
        <v>4</v>
      </c>
      <c r="D131" s="1" t="s">
        <v>18</v>
      </c>
      <c r="E131" s="5">
        <v>150</v>
      </c>
      <c r="F131" s="46"/>
      <c r="G131" s="4">
        <f t="shared" si="0"/>
        <v>600</v>
      </c>
      <c r="H131" s="1" t="s">
        <v>10</v>
      </c>
      <c r="I131" s="9"/>
      <c r="J131" s="4"/>
      <c r="K131" s="31"/>
    </row>
    <row r="132" spans="1:11">
      <c r="A132" s="11"/>
      <c r="B132" s="9" t="s">
        <v>129</v>
      </c>
      <c r="C132" s="5">
        <f>G84</f>
        <v>1</v>
      </c>
      <c r="D132" s="1" t="s">
        <v>18</v>
      </c>
      <c r="E132" s="5">
        <v>100</v>
      </c>
      <c r="F132" s="46"/>
      <c r="G132" s="4">
        <f t="shared" si="0"/>
        <v>100</v>
      </c>
      <c r="H132" s="1" t="s">
        <v>10</v>
      </c>
      <c r="I132" s="9"/>
      <c r="J132" s="4"/>
      <c r="K132" s="31"/>
    </row>
    <row r="133" spans="1:11">
      <c r="A133" s="11"/>
      <c r="B133" s="9"/>
      <c r="C133" s="5"/>
      <c r="D133" s="1"/>
      <c r="E133" s="5"/>
      <c r="F133" s="46"/>
      <c r="G133" s="4"/>
      <c r="H133" s="1"/>
      <c r="I133" s="9"/>
      <c r="J133" s="4"/>
      <c r="K133" s="31"/>
    </row>
    <row r="134" spans="1:11">
      <c r="A134" s="11"/>
      <c r="B134" s="9"/>
      <c r="C134" s="9"/>
      <c r="D134" s="9"/>
      <c r="E134" s="9"/>
      <c r="F134" s="70" t="s">
        <v>11</v>
      </c>
      <c r="G134" s="53">
        <f>SUM(G127:G133)</f>
        <v>2825</v>
      </c>
      <c r="H134" s="50" t="s">
        <v>19</v>
      </c>
      <c r="I134" s="9"/>
      <c r="J134" s="4"/>
      <c r="K134" s="31"/>
    </row>
    <row r="135" spans="1:11">
      <c r="A135" s="11"/>
      <c r="B135" s="9"/>
      <c r="C135" s="9"/>
      <c r="D135" s="9"/>
      <c r="E135" s="9"/>
      <c r="F135" s="69" t="s">
        <v>13</v>
      </c>
      <c r="G135" s="27">
        <f>ROUNDUP(G134,0)</f>
        <v>2825</v>
      </c>
      <c r="H135" s="28" t="s">
        <v>24</v>
      </c>
      <c r="I135" s="9"/>
      <c r="J135" s="4"/>
      <c r="K135" s="31"/>
    </row>
    <row r="136" spans="1:11">
      <c r="A136" s="18"/>
      <c r="B136" s="9"/>
      <c r="F136" s="9"/>
      <c r="G136" s="33"/>
      <c r="H136" s="24"/>
      <c r="J136" s="4"/>
      <c r="K136" s="31"/>
    </row>
    <row r="137" spans="1:11">
      <c r="A137" s="18">
        <f>A126+1</f>
        <v>21</v>
      </c>
      <c r="B137" s="9" t="s">
        <v>72</v>
      </c>
      <c r="F137" s="9"/>
      <c r="G137" s="33"/>
      <c r="H137" s="24"/>
      <c r="J137" s="4"/>
      <c r="K137" s="31"/>
    </row>
    <row r="138" spans="1:11">
      <c r="A138" s="79"/>
      <c r="B138" s="46"/>
      <c r="C138" s="1">
        <v>1</v>
      </c>
      <c r="D138" s="5">
        <v>7.5</v>
      </c>
      <c r="E138" s="5">
        <v>0.23</v>
      </c>
      <c r="F138" s="5">
        <v>4.1500000000000004</v>
      </c>
      <c r="G138" s="4">
        <f>C138*D138*E138*F138</f>
        <v>7.1587500000000013</v>
      </c>
      <c r="H138" s="1" t="s">
        <v>9</v>
      </c>
      <c r="I138" s="9"/>
      <c r="J138" s="4"/>
      <c r="K138" s="31"/>
    </row>
    <row r="139" spans="1:11">
      <c r="A139" s="79"/>
      <c r="B139" s="46"/>
      <c r="C139" s="1">
        <v>1</v>
      </c>
      <c r="D139" s="5">
        <v>7.5</v>
      </c>
      <c r="E139" s="5">
        <v>0.23</v>
      </c>
      <c r="F139" s="5">
        <v>0.9</v>
      </c>
      <c r="G139" s="4">
        <f t="shared" ref="G139:G144" si="1">C139*D139*E139*F139</f>
        <v>1.5525000000000002</v>
      </c>
      <c r="H139" s="1" t="s">
        <v>10</v>
      </c>
      <c r="I139" s="9"/>
      <c r="J139" s="4"/>
      <c r="K139" s="31"/>
    </row>
    <row r="140" spans="1:11">
      <c r="A140" s="79"/>
      <c r="B140" s="46"/>
      <c r="C140" s="1">
        <v>3</v>
      </c>
      <c r="D140" s="5">
        <v>6</v>
      </c>
      <c r="E140" s="5">
        <v>0.23</v>
      </c>
      <c r="F140" s="5">
        <v>5.0999999999999996</v>
      </c>
      <c r="G140" s="4">
        <f t="shared" si="1"/>
        <v>21.114000000000001</v>
      </c>
      <c r="H140" s="1" t="s">
        <v>10</v>
      </c>
      <c r="I140" s="9"/>
      <c r="J140" s="4"/>
    </row>
    <row r="141" spans="1:11">
      <c r="A141" s="13"/>
      <c r="B141" s="46"/>
      <c r="C141" s="1">
        <v>4</v>
      </c>
      <c r="D141" s="5">
        <v>5</v>
      </c>
      <c r="E141" s="5">
        <v>0.45</v>
      </c>
      <c r="F141" s="5">
        <v>0.75</v>
      </c>
      <c r="G141" s="4">
        <f t="shared" si="1"/>
        <v>6.75</v>
      </c>
      <c r="H141" s="1" t="s">
        <v>10</v>
      </c>
      <c r="I141" s="9"/>
      <c r="J141" s="4"/>
    </row>
    <row r="142" spans="1:11">
      <c r="A142" s="13"/>
      <c r="B142" s="46"/>
      <c r="C142" s="1">
        <v>2</v>
      </c>
      <c r="D142" s="5">
        <v>3</v>
      </c>
      <c r="E142" s="5">
        <v>0.23</v>
      </c>
      <c r="F142" s="5">
        <v>0.75</v>
      </c>
      <c r="G142" s="4">
        <f t="shared" si="1"/>
        <v>1.0350000000000001</v>
      </c>
      <c r="H142" s="1" t="s">
        <v>10</v>
      </c>
      <c r="I142" s="9"/>
      <c r="J142" s="4"/>
    </row>
    <row r="143" spans="1:11">
      <c r="A143" s="13"/>
      <c r="B143" s="46"/>
      <c r="C143" s="1">
        <v>2</v>
      </c>
      <c r="D143" s="5">
        <v>1</v>
      </c>
      <c r="E143" s="5">
        <v>0.23</v>
      </c>
      <c r="F143" s="5">
        <v>0.75</v>
      </c>
      <c r="G143" s="4">
        <f t="shared" si="1"/>
        <v>0.34500000000000003</v>
      </c>
      <c r="H143" s="1" t="s">
        <v>10</v>
      </c>
      <c r="I143" s="9"/>
      <c r="J143" s="4"/>
    </row>
    <row r="144" spans="1:11">
      <c r="A144" s="13"/>
      <c r="B144" s="46"/>
      <c r="C144" s="1">
        <v>3</v>
      </c>
      <c r="D144" s="5">
        <v>0.7</v>
      </c>
      <c r="E144" s="5">
        <v>0.23</v>
      </c>
      <c r="F144" s="5">
        <v>0.15</v>
      </c>
      <c r="G144" s="4">
        <f t="shared" si="1"/>
        <v>7.2449999999999987E-2</v>
      </c>
      <c r="H144" s="1" t="s">
        <v>10</v>
      </c>
      <c r="I144" s="9"/>
      <c r="J144" s="4"/>
    </row>
    <row r="145" spans="1:13">
      <c r="A145" s="13"/>
      <c r="B145" s="46"/>
      <c r="C145" s="1"/>
      <c r="D145" s="5"/>
      <c r="E145" s="5"/>
      <c r="F145" s="5"/>
      <c r="G145" s="4"/>
      <c r="H145" s="1"/>
      <c r="I145" s="9"/>
      <c r="J145" s="4"/>
    </row>
    <row r="146" spans="1:13">
      <c r="A146" s="13"/>
      <c r="B146" s="9"/>
      <c r="C146" s="9"/>
      <c r="D146" s="9"/>
      <c r="E146" s="4"/>
      <c r="F146" s="70" t="s">
        <v>11</v>
      </c>
      <c r="G146" s="53">
        <f>SUM(G138:G145)</f>
        <v>38.02770000000001</v>
      </c>
      <c r="H146" s="50" t="s">
        <v>12</v>
      </c>
      <c r="J146" s="4"/>
      <c r="M146" s="46"/>
    </row>
    <row r="147" spans="1:13">
      <c r="A147" s="13"/>
      <c r="B147" s="9"/>
      <c r="C147" s="9"/>
      <c r="D147" s="9"/>
      <c r="E147" s="4"/>
      <c r="F147" s="69" t="s">
        <v>13</v>
      </c>
      <c r="G147" s="27">
        <f>ROUNDUP(G146,0)</f>
        <v>39</v>
      </c>
      <c r="H147" s="28" t="s">
        <v>9</v>
      </c>
      <c r="I147" s="9"/>
      <c r="J147" s="4"/>
    </row>
    <row r="148" spans="1:13">
      <c r="A148" s="13"/>
      <c r="B148" s="9"/>
      <c r="C148" s="9"/>
      <c r="D148" s="9"/>
      <c r="E148" s="4"/>
      <c r="F148" s="9"/>
      <c r="G148" s="33"/>
      <c r="H148" s="24"/>
      <c r="I148" s="9"/>
      <c r="J148" s="4"/>
    </row>
    <row r="149" spans="1:13">
      <c r="A149" s="18">
        <f>A137+1</f>
        <v>22</v>
      </c>
      <c r="B149" s="9" t="s">
        <v>41</v>
      </c>
      <c r="C149" s="48"/>
      <c r="D149" s="48"/>
      <c r="E149" s="48"/>
      <c r="F149" s="9"/>
      <c r="G149" s="33"/>
      <c r="H149" s="24"/>
      <c r="I149" s="9"/>
      <c r="J149" s="4"/>
    </row>
    <row r="150" spans="1:13">
      <c r="A150" s="79"/>
      <c r="B150" s="46"/>
      <c r="C150" s="1">
        <v>1</v>
      </c>
      <c r="D150" s="5">
        <v>1.2</v>
      </c>
      <c r="E150" s="5"/>
      <c r="F150" s="5">
        <v>0.6</v>
      </c>
      <c r="G150" s="4">
        <f>C150*D150*F150</f>
        <v>0.72</v>
      </c>
      <c r="H150" s="1" t="s">
        <v>17</v>
      </c>
      <c r="I150" s="9"/>
      <c r="J150" s="4"/>
    </row>
    <row r="151" spans="1:13">
      <c r="A151" s="79"/>
      <c r="B151" s="46"/>
      <c r="C151" s="1"/>
      <c r="D151" s="5"/>
      <c r="E151" s="5"/>
      <c r="F151" s="5" t="s">
        <v>395</v>
      </c>
      <c r="G151" s="4">
        <f>G150*7.5</f>
        <v>5.3999999999999995</v>
      </c>
      <c r="H151" s="1" t="s">
        <v>24</v>
      </c>
      <c r="I151" s="9"/>
      <c r="J151" s="4"/>
    </row>
    <row r="152" spans="1:13">
      <c r="A152" s="79"/>
      <c r="C152" s="9"/>
      <c r="D152" s="9"/>
      <c r="E152" s="9"/>
      <c r="F152" s="56" t="s">
        <v>13</v>
      </c>
      <c r="G152" s="27">
        <f>ROUNDUP(G151,0)</f>
        <v>6</v>
      </c>
      <c r="H152" s="28" t="s">
        <v>24</v>
      </c>
      <c r="I152" s="9"/>
      <c r="J152" s="4"/>
    </row>
    <row r="153" spans="1:13">
      <c r="A153" s="79"/>
      <c r="C153" s="9"/>
      <c r="D153" s="9"/>
      <c r="E153" s="9"/>
      <c r="F153" s="1"/>
      <c r="G153" s="33"/>
      <c r="H153" s="24"/>
      <c r="I153" s="9"/>
      <c r="J153" s="4"/>
    </row>
    <row r="154" spans="1:13">
      <c r="A154" s="101">
        <f>A149+1</f>
        <v>23</v>
      </c>
      <c r="B154" s="9" t="s">
        <v>396</v>
      </c>
      <c r="C154" s="1">
        <v>1</v>
      </c>
      <c r="D154" s="5">
        <v>1.2</v>
      </c>
      <c r="E154" s="5"/>
      <c r="F154" s="5">
        <v>0.6</v>
      </c>
      <c r="G154" s="4">
        <f>C154*D154*F154</f>
        <v>0.72</v>
      </c>
      <c r="H154" s="1" t="s">
        <v>17</v>
      </c>
      <c r="I154" s="9"/>
      <c r="J154" s="4"/>
    </row>
    <row r="155" spans="1:13">
      <c r="A155" s="79"/>
      <c r="C155" s="9"/>
      <c r="D155" s="9"/>
      <c r="E155" s="9"/>
      <c r="F155" s="56" t="s">
        <v>13</v>
      </c>
      <c r="G155" s="27">
        <f>ROUNDUP(G154,0)</f>
        <v>1</v>
      </c>
      <c r="H155" s="28" t="s">
        <v>17</v>
      </c>
      <c r="I155" s="9"/>
      <c r="J155" s="4"/>
    </row>
    <row r="156" spans="1:13">
      <c r="A156" s="79"/>
      <c r="C156" s="9"/>
      <c r="D156" s="9"/>
      <c r="E156" s="9"/>
      <c r="F156" s="1"/>
      <c r="G156" s="33"/>
      <c r="H156" s="24"/>
      <c r="I156" s="9"/>
      <c r="J156" s="4"/>
    </row>
    <row r="157" spans="1:13">
      <c r="A157" s="101">
        <f>A154+1</f>
        <v>24</v>
      </c>
      <c r="B157" s="9" t="s">
        <v>397</v>
      </c>
      <c r="C157" s="84">
        <v>0.5</v>
      </c>
      <c r="D157" s="4" t="s">
        <v>399</v>
      </c>
      <c r="E157" s="5"/>
      <c r="F157" s="1"/>
      <c r="G157" s="33"/>
      <c r="H157" s="24"/>
      <c r="I157" s="9"/>
      <c r="J157" s="4"/>
    </row>
    <row r="158" spans="1:13">
      <c r="A158" s="79"/>
      <c r="C158" s="5">
        <f>G154</f>
        <v>0.72</v>
      </c>
      <c r="D158" s="1" t="s">
        <v>400</v>
      </c>
      <c r="E158" s="84">
        <v>0.5</v>
      </c>
      <c r="F158" s="1"/>
      <c r="G158" s="4">
        <f>C158*E158</f>
        <v>0.36</v>
      </c>
      <c r="H158" s="1" t="s">
        <v>47</v>
      </c>
      <c r="I158" s="9"/>
      <c r="J158" s="4"/>
    </row>
    <row r="159" spans="1:13">
      <c r="A159" s="79"/>
      <c r="C159" s="1"/>
      <c r="D159" s="5"/>
      <c r="E159" s="5"/>
      <c r="F159" s="58" t="s">
        <v>13</v>
      </c>
      <c r="G159" s="27">
        <f>ROUNDUP(G158,0)</f>
        <v>1</v>
      </c>
      <c r="H159" s="28" t="s">
        <v>47</v>
      </c>
      <c r="I159" s="9"/>
      <c r="J159" s="4"/>
    </row>
    <row r="160" spans="1:13">
      <c r="A160" s="79"/>
      <c r="C160" s="1"/>
      <c r="D160" s="5"/>
      <c r="E160" s="5"/>
      <c r="F160" s="5"/>
      <c r="G160" s="33"/>
      <c r="H160" s="24"/>
      <c r="I160" s="9"/>
      <c r="J160" s="4"/>
    </row>
    <row r="161" spans="1:11">
      <c r="A161" s="18">
        <f>A157+1</f>
        <v>25</v>
      </c>
      <c r="B161" s="9" t="s">
        <v>42</v>
      </c>
      <c r="C161" s="1"/>
      <c r="D161" s="5"/>
      <c r="E161" s="5"/>
      <c r="F161" s="9"/>
      <c r="G161" s="33"/>
      <c r="H161" s="24"/>
      <c r="I161" s="9"/>
      <c r="J161" s="4"/>
    </row>
    <row r="162" spans="1:11">
      <c r="A162" s="79"/>
      <c r="B162" s="46"/>
      <c r="C162" s="1">
        <v>1</v>
      </c>
      <c r="D162" s="5">
        <v>1.2</v>
      </c>
      <c r="E162" s="5"/>
      <c r="F162" s="5">
        <v>0.6</v>
      </c>
      <c r="G162" s="4">
        <f>C162*D162*F162</f>
        <v>0.72</v>
      </c>
      <c r="H162" s="1" t="s">
        <v>17</v>
      </c>
      <c r="I162" s="9"/>
      <c r="J162" s="4"/>
    </row>
    <row r="163" spans="1:11">
      <c r="A163" s="79"/>
      <c r="B163" s="9"/>
      <c r="C163" s="46"/>
      <c r="D163" s="2"/>
      <c r="F163" s="2" t="s">
        <v>27</v>
      </c>
      <c r="G163" s="4">
        <f>G162*21</f>
        <v>15.12</v>
      </c>
      <c r="H163" s="1" t="s">
        <v>24</v>
      </c>
      <c r="I163" s="9"/>
      <c r="J163" s="4"/>
    </row>
    <row r="164" spans="1:11">
      <c r="A164" s="79"/>
      <c r="C164" s="9"/>
      <c r="D164" s="9"/>
      <c r="E164" s="9"/>
      <c r="F164" s="69" t="s">
        <v>13</v>
      </c>
      <c r="G164" s="27">
        <f>ROUNDUP(G163,0)</f>
        <v>16</v>
      </c>
      <c r="H164" s="28" t="s">
        <v>24</v>
      </c>
      <c r="I164" s="9"/>
      <c r="J164" s="4"/>
      <c r="K164" s="31"/>
    </row>
    <row r="165" spans="1:11">
      <c r="A165" s="79"/>
      <c r="C165" s="9"/>
      <c r="D165" s="9"/>
      <c r="E165" s="9"/>
      <c r="F165" s="9"/>
      <c r="G165" s="33"/>
      <c r="H165" s="24"/>
      <c r="I165" s="9"/>
      <c r="J165" s="4"/>
      <c r="K165" s="31"/>
    </row>
    <row r="166" spans="1:11">
      <c r="A166" s="18">
        <f>A161+1</f>
        <v>26</v>
      </c>
      <c r="B166" s="9" t="s">
        <v>308</v>
      </c>
      <c r="C166" s="1">
        <v>1</v>
      </c>
      <c r="D166" s="5">
        <v>8</v>
      </c>
      <c r="E166" s="5">
        <v>6.23</v>
      </c>
      <c r="F166" s="4">
        <f>C166*D166*E166</f>
        <v>49.84</v>
      </c>
      <c r="H166" s="1" t="s">
        <v>17</v>
      </c>
      <c r="I166" s="9"/>
      <c r="J166" s="4"/>
      <c r="K166" s="31"/>
    </row>
    <row r="167" spans="1:11">
      <c r="A167" s="18"/>
      <c r="B167" s="9"/>
      <c r="C167" s="1"/>
      <c r="D167" s="5"/>
      <c r="F167" s="2" t="s">
        <v>386</v>
      </c>
      <c r="G167" s="4">
        <f>F166*10</f>
        <v>498.40000000000003</v>
      </c>
      <c r="H167" s="1" t="s">
        <v>24</v>
      </c>
      <c r="I167" s="9"/>
      <c r="J167" s="4"/>
      <c r="K167" s="31"/>
    </row>
    <row r="168" spans="1:11">
      <c r="A168" s="18"/>
      <c r="B168" s="9"/>
      <c r="C168" s="1"/>
      <c r="D168" s="5"/>
      <c r="F168" s="2"/>
      <c r="G168" s="4"/>
      <c r="H168" s="1"/>
      <c r="I168" s="9"/>
      <c r="J168" s="4"/>
      <c r="K168" s="31"/>
    </row>
    <row r="169" spans="1:11">
      <c r="A169" s="18"/>
      <c r="B169" s="9"/>
      <c r="C169" s="1"/>
      <c r="D169" s="5"/>
      <c r="F169" s="70" t="s">
        <v>11</v>
      </c>
      <c r="G169" s="53">
        <f>SUM(G167:G168)</f>
        <v>498.40000000000003</v>
      </c>
      <c r="H169" s="50" t="s">
        <v>24</v>
      </c>
      <c r="I169" s="9"/>
      <c r="J169" s="4"/>
      <c r="K169" s="31"/>
    </row>
    <row r="170" spans="1:11">
      <c r="A170" s="18"/>
      <c r="B170" s="46"/>
      <c r="C170" s="1"/>
      <c r="D170" s="5"/>
      <c r="E170" s="5"/>
      <c r="F170" s="69" t="s">
        <v>13</v>
      </c>
      <c r="G170" s="27">
        <f>ROUNDUP(G167,0)</f>
        <v>499</v>
      </c>
      <c r="H170" s="28" t="s">
        <v>24</v>
      </c>
      <c r="I170" s="9"/>
      <c r="J170" s="4"/>
      <c r="K170" s="31"/>
    </row>
    <row r="171" spans="1:11">
      <c r="A171" s="79"/>
      <c r="C171" s="9"/>
      <c r="D171" s="9"/>
      <c r="E171" s="9"/>
      <c r="F171" s="71"/>
      <c r="G171" s="72"/>
      <c r="H171" s="73"/>
      <c r="I171" s="9"/>
      <c r="J171" s="4"/>
      <c r="K171" s="31"/>
    </row>
    <row r="172" spans="1:11">
      <c r="A172" s="18">
        <f>A166+1</f>
        <v>27</v>
      </c>
      <c r="B172" s="9" t="s">
        <v>387</v>
      </c>
      <c r="C172" s="1">
        <v>1</v>
      </c>
      <c r="D172" s="5">
        <v>8.6</v>
      </c>
      <c r="E172" s="5">
        <v>7</v>
      </c>
      <c r="F172" s="4">
        <f>C172*D172*E172</f>
        <v>60.199999999999996</v>
      </c>
      <c r="G172" s="4">
        <f>C172*D172*E172</f>
        <v>60.199999999999996</v>
      </c>
      <c r="H172" s="1" t="s">
        <v>17</v>
      </c>
      <c r="I172" s="9"/>
      <c r="J172" s="4"/>
      <c r="K172" s="31"/>
    </row>
    <row r="173" spans="1:11">
      <c r="A173" s="79"/>
      <c r="C173" s="9"/>
      <c r="D173" s="9"/>
      <c r="E173" s="9"/>
      <c r="F173" s="69" t="s">
        <v>13</v>
      </c>
      <c r="G173" s="27">
        <f>ROUNDUP(G172,0)</f>
        <v>61</v>
      </c>
      <c r="H173" s="28" t="s">
        <v>17</v>
      </c>
      <c r="I173" s="9"/>
      <c r="J173" s="4"/>
      <c r="K173" s="31"/>
    </row>
    <row r="174" spans="1:11">
      <c r="A174" s="79"/>
      <c r="C174" s="9"/>
      <c r="D174" s="9"/>
      <c r="E174" s="9"/>
      <c r="F174" s="9"/>
      <c r="G174" s="33"/>
      <c r="H174" s="24"/>
      <c r="I174" s="9"/>
      <c r="J174" s="4"/>
      <c r="K174" s="31"/>
    </row>
    <row r="175" spans="1:11">
      <c r="A175" s="18">
        <f>A172+1</f>
        <v>28</v>
      </c>
      <c r="B175" s="9" t="s">
        <v>312</v>
      </c>
      <c r="C175" s="1">
        <v>1</v>
      </c>
      <c r="D175" s="5">
        <v>8.6</v>
      </c>
      <c r="E175" s="5"/>
      <c r="G175" s="4">
        <f>C175*D175</f>
        <v>8.6</v>
      </c>
      <c r="H175" s="1" t="s">
        <v>49</v>
      </c>
      <c r="I175" s="9"/>
      <c r="J175" s="4"/>
      <c r="K175" s="31"/>
    </row>
    <row r="176" spans="1:11">
      <c r="A176" s="79"/>
      <c r="C176" s="9"/>
      <c r="D176" s="9"/>
      <c r="E176" s="9"/>
      <c r="F176" s="69" t="s">
        <v>13</v>
      </c>
      <c r="G176" s="27">
        <f>ROUNDUP(G175,0)</f>
        <v>9</v>
      </c>
      <c r="H176" s="28" t="s">
        <v>49</v>
      </c>
      <c r="I176" s="9"/>
      <c r="J176" s="4"/>
      <c r="K176" s="31"/>
    </row>
    <row r="177" spans="1:11">
      <c r="A177" s="79"/>
      <c r="C177" s="9"/>
      <c r="D177" s="9"/>
      <c r="E177" s="9"/>
      <c r="F177" s="9"/>
      <c r="G177" s="33"/>
      <c r="H177" s="24"/>
      <c r="I177" s="9"/>
      <c r="J177" s="4"/>
      <c r="K177" s="31"/>
    </row>
    <row r="178" spans="1:11">
      <c r="A178" s="18">
        <f>A175+1</f>
        <v>29</v>
      </c>
      <c r="B178" s="9" t="s">
        <v>43</v>
      </c>
      <c r="I178" s="9"/>
      <c r="J178" s="4"/>
      <c r="K178" s="31"/>
    </row>
    <row r="179" spans="1:11">
      <c r="A179" s="18"/>
      <c r="B179" s="46"/>
      <c r="C179" s="1">
        <v>2</v>
      </c>
      <c r="D179" s="5">
        <f>3.5+6+3.5+6</f>
        <v>19</v>
      </c>
      <c r="E179" s="1"/>
      <c r="F179" s="5">
        <v>4.5</v>
      </c>
      <c r="G179" s="4">
        <f>C179*D179*F179</f>
        <v>171</v>
      </c>
      <c r="H179" s="1" t="s">
        <v>17</v>
      </c>
      <c r="I179" s="9"/>
      <c r="J179" s="4"/>
      <c r="K179" s="31"/>
    </row>
    <row r="180" spans="1:11">
      <c r="A180" s="13"/>
      <c r="B180" s="46" t="s">
        <v>73</v>
      </c>
      <c r="C180" s="1">
        <v>2</v>
      </c>
      <c r="D180" s="5">
        <v>3.5</v>
      </c>
      <c r="E180" s="5"/>
      <c r="F180" s="5">
        <v>3.5</v>
      </c>
      <c r="G180" s="4">
        <f>-C180*D180*F180</f>
        <v>-24.5</v>
      </c>
      <c r="H180" s="1" t="s">
        <v>10</v>
      </c>
      <c r="I180" s="9"/>
      <c r="J180" s="4"/>
      <c r="K180" s="31"/>
    </row>
    <row r="181" spans="1:11">
      <c r="A181" s="13"/>
      <c r="B181" s="46"/>
      <c r="C181" s="1"/>
      <c r="D181" s="5"/>
      <c r="E181" s="5"/>
      <c r="F181" s="5"/>
      <c r="G181" s="4"/>
      <c r="H181" s="1"/>
      <c r="I181" s="9"/>
      <c r="J181" s="4"/>
      <c r="K181" s="31"/>
    </row>
    <row r="182" spans="1:11">
      <c r="A182" s="13"/>
      <c r="B182" s="9"/>
      <c r="C182" s="46"/>
      <c r="D182" s="2"/>
      <c r="E182" s="4"/>
      <c r="F182" s="70" t="s">
        <v>11</v>
      </c>
      <c r="G182" s="53">
        <f>SUM(G179:G181)</f>
        <v>146.5</v>
      </c>
      <c r="H182" s="50" t="s">
        <v>17</v>
      </c>
      <c r="I182" s="9"/>
      <c r="J182" s="4"/>
      <c r="K182" s="31"/>
    </row>
    <row r="183" spans="1:11">
      <c r="A183" s="13"/>
      <c r="B183" s="9"/>
      <c r="C183" s="46"/>
      <c r="D183" s="46"/>
      <c r="E183" s="9"/>
      <c r="F183" s="69" t="s">
        <v>13</v>
      </c>
      <c r="G183" s="27">
        <f>ROUNDUP(G182,0)</f>
        <v>147</v>
      </c>
      <c r="H183" s="28" t="s">
        <v>17</v>
      </c>
      <c r="I183" s="9"/>
      <c r="J183" s="4"/>
      <c r="K183" s="31"/>
    </row>
    <row r="184" spans="1:11">
      <c r="A184" s="13"/>
      <c r="B184" s="9"/>
      <c r="C184" s="46"/>
      <c r="D184" s="46"/>
      <c r="E184" s="9"/>
      <c r="F184" s="9"/>
      <c r="G184" s="33"/>
      <c r="H184" s="24"/>
      <c r="I184" s="9"/>
      <c r="J184" s="4"/>
      <c r="K184" s="31"/>
    </row>
    <row r="185" spans="1:11">
      <c r="A185" s="18">
        <f>A178+1</f>
        <v>30</v>
      </c>
      <c r="B185" s="9" t="s">
        <v>65</v>
      </c>
      <c r="C185" s="1">
        <v>1</v>
      </c>
      <c r="D185" s="5">
        <f>8+6.23</f>
        <v>14.23</v>
      </c>
      <c r="E185" s="1"/>
      <c r="F185" s="5">
        <v>5.35</v>
      </c>
      <c r="G185" s="4">
        <f>C185*D185*F185</f>
        <v>76.130499999999998</v>
      </c>
      <c r="H185" s="1" t="s">
        <v>17</v>
      </c>
      <c r="I185" s="9"/>
      <c r="J185" s="4"/>
      <c r="K185" s="31"/>
    </row>
    <row r="186" spans="1:11">
      <c r="A186" s="18"/>
      <c r="B186" s="9"/>
      <c r="C186" s="1">
        <v>4</v>
      </c>
      <c r="D186" s="5">
        <v>5</v>
      </c>
      <c r="E186" s="1"/>
      <c r="F186" s="5">
        <v>1.5</v>
      </c>
      <c r="G186" s="4">
        <f>C186*D186*F186</f>
        <v>30</v>
      </c>
      <c r="H186" s="1" t="s">
        <v>10</v>
      </c>
      <c r="I186" s="9"/>
      <c r="J186" s="4"/>
      <c r="K186" s="31"/>
    </row>
    <row r="187" spans="1:11">
      <c r="A187" s="18"/>
      <c r="B187" s="9"/>
      <c r="C187" s="1">
        <v>4</v>
      </c>
      <c r="D187" s="5">
        <v>0.45</v>
      </c>
      <c r="E187" s="1"/>
      <c r="F187" s="5">
        <v>1.5</v>
      </c>
      <c r="G187" s="4">
        <f>C187*D187*F187</f>
        <v>2.7</v>
      </c>
      <c r="H187" s="1" t="s">
        <v>10</v>
      </c>
      <c r="I187" s="9"/>
      <c r="J187" s="4"/>
      <c r="K187" s="31"/>
    </row>
    <row r="188" spans="1:11">
      <c r="A188" s="18"/>
      <c r="B188" s="9"/>
      <c r="C188" s="1"/>
      <c r="D188" s="5"/>
      <c r="E188" s="1"/>
      <c r="F188" s="5"/>
      <c r="G188" s="4"/>
      <c r="H188" s="1"/>
      <c r="I188" s="9"/>
      <c r="J188" s="4"/>
      <c r="K188" s="31"/>
    </row>
    <row r="189" spans="1:11">
      <c r="A189" s="18"/>
      <c r="B189" s="9"/>
      <c r="C189" s="1"/>
      <c r="D189" s="5"/>
      <c r="E189" s="1"/>
      <c r="F189" s="70" t="s">
        <v>11</v>
      </c>
      <c r="G189" s="53">
        <f>SUM(G185:G188)</f>
        <v>108.8305</v>
      </c>
      <c r="H189" s="50" t="s">
        <v>17</v>
      </c>
      <c r="I189" s="9"/>
      <c r="J189" s="4"/>
      <c r="K189" s="31"/>
    </row>
    <row r="190" spans="1:11">
      <c r="A190" s="18"/>
      <c r="B190" s="9"/>
      <c r="C190" s="46"/>
      <c r="D190" s="46"/>
      <c r="E190" s="9"/>
      <c r="F190" s="69" t="s">
        <v>13</v>
      </c>
      <c r="G190" s="27">
        <f>ROUNDUP(G189,0)</f>
        <v>109</v>
      </c>
      <c r="H190" s="28" t="s">
        <v>17</v>
      </c>
      <c r="I190" s="9"/>
      <c r="J190" s="4"/>
      <c r="K190" s="31"/>
    </row>
    <row r="191" spans="1:11">
      <c r="A191" s="18"/>
      <c r="B191" s="9"/>
      <c r="C191" s="46"/>
      <c r="D191" s="46"/>
      <c r="E191" s="9"/>
      <c r="F191" s="9"/>
      <c r="G191" s="33"/>
      <c r="H191" s="24"/>
      <c r="I191" s="9"/>
      <c r="J191" s="4"/>
      <c r="K191" s="31"/>
    </row>
    <row r="192" spans="1:11">
      <c r="A192" s="18">
        <f>A185+1</f>
        <v>31</v>
      </c>
      <c r="B192" s="6" t="s">
        <v>388</v>
      </c>
      <c r="C192" s="46"/>
      <c r="D192" s="2"/>
      <c r="E192" s="5"/>
      <c r="F192" s="9"/>
      <c r="G192" s="4"/>
      <c r="H192" s="1"/>
      <c r="I192" s="9"/>
      <c r="J192" s="4"/>
    </row>
    <row r="193" spans="1:11">
      <c r="A193" s="13"/>
      <c r="B193" s="46"/>
      <c r="C193" s="1">
        <v>2</v>
      </c>
      <c r="D193" s="5">
        <v>3.52</v>
      </c>
      <c r="E193" s="5">
        <v>6</v>
      </c>
      <c r="F193" s="9"/>
      <c r="G193" s="4">
        <f>C193*D193*E193</f>
        <v>42.24</v>
      </c>
      <c r="H193" s="1" t="s">
        <v>17</v>
      </c>
      <c r="I193" s="9"/>
      <c r="J193" s="4"/>
      <c r="K193" s="31"/>
    </row>
    <row r="194" spans="1:11">
      <c r="A194" s="66"/>
      <c r="C194" s="74"/>
      <c r="D194" s="74"/>
      <c r="F194" s="69" t="s">
        <v>13</v>
      </c>
      <c r="G194" s="27">
        <f>ROUNDUP(G193,0)</f>
        <v>43</v>
      </c>
      <c r="H194" s="28" t="s">
        <v>17</v>
      </c>
      <c r="I194" s="9"/>
      <c r="J194" s="4"/>
      <c r="K194" s="31"/>
    </row>
    <row r="195" spans="1:11">
      <c r="A195" s="18"/>
      <c r="B195" s="8"/>
      <c r="J195" s="4"/>
    </row>
    <row r="196" spans="1:11">
      <c r="A196" s="18">
        <f>A192+1</f>
        <v>32</v>
      </c>
      <c r="B196" s="9" t="s">
        <v>46</v>
      </c>
      <c r="C196" s="1"/>
      <c r="D196" s="5"/>
      <c r="E196" s="1"/>
      <c r="F196" s="5"/>
      <c r="G196" s="4"/>
      <c r="H196" s="1"/>
      <c r="I196" s="9"/>
      <c r="J196" s="4"/>
    </row>
    <row r="197" spans="1:11">
      <c r="A197" s="29"/>
      <c r="B197" s="46" t="s">
        <v>25</v>
      </c>
      <c r="C197" s="46"/>
      <c r="D197" s="2"/>
      <c r="E197" s="2"/>
      <c r="F197" s="9"/>
      <c r="G197" s="4">
        <f>G182</f>
        <v>146.5</v>
      </c>
      <c r="H197" s="1" t="s">
        <v>17</v>
      </c>
      <c r="I197" s="9"/>
      <c r="J197" s="4"/>
    </row>
    <row r="198" spans="1:11">
      <c r="A198" s="29"/>
      <c r="B198" s="46" t="s">
        <v>64</v>
      </c>
      <c r="C198" s="46"/>
      <c r="D198" s="2"/>
      <c r="E198" s="2"/>
      <c r="F198" s="9"/>
      <c r="G198" s="4">
        <f>G190</f>
        <v>109</v>
      </c>
      <c r="H198" s="1" t="s">
        <v>10</v>
      </c>
      <c r="I198" s="9"/>
      <c r="J198" s="4"/>
    </row>
    <row r="199" spans="1:11">
      <c r="A199" s="54"/>
      <c r="B199" s="46"/>
      <c r="C199" s="1"/>
      <c r="D199" s="5"/>
      <c r="E199" s="1"/>
      <c r="F199" s="5"/>
      <c r="G199" s="4"/>
      <c r="H199" s="1"/>
      <c r="I199" s="9"/>
      <c r="J199" s="4"/>
    </row>
    <row r="200" spans="1:11">
      <c r="A200" s="54"/>
      <c r="B200" s="46"/>
      <c r="C200" s="1"/>
      <c r="D200" s="5"/>
      <c r="E200" s="1"/>
      <c r="F200" s="70" t="s">
        <v>11</v>
      </c>
      <c r="G200" s="53">
        <f>SUM(G197:G199)</f>
        <v>255.5</v>
      </c>
      <c r="H200" s="50" t="s">
        <v>17</v>
      </c>
      <c r="I200" s="9"/>
      <c r="J200" s="4"/>
    </row>
    <row r="201" spans="1:11">
      <c r="B201" s="46"/>
      <c r="C201" s="46"/>
      <c r="D201" s="46"/>
      <c r="E201" s="9"/>
      <c r="F201" s="69" t="s">
        <v>13</v>
      </c>
      <c r="G201" s="27">
        <f>ROUNDUP(G200,0)</f>
        <v>256</v>
      </c>
      <c r="H201" s="28" t="s">
        <v>17</v>
      </c>
      <c r="I201" s="9"/>
      <c r="J201" s="4"/>
    </row>
    <row r="202" spans="1:11">
      <c r="B202" s="9"/>
      <c r="C202" s="46"/>
      <c r="D202" s="2"/>
      <c r="E202" s="4"/>
      <c r="F202" s="4"/>
      <c r="G202" s="4"/>
      <c r="H202" s="1"/>
      <c r="J202" s="4"/>
    </row>
    <row r="204" spans="1:11">
      <c r="C204" s="46"/>
      <c r="D204" s="2"/>
      <c r="E204" s="5"/>
      <c r="F204" s="9"/>
      <c r="G204" s="4"/>
      <c r="H204" s="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6:J97"/>
  <sheetViews>
    <sheetView zoomScaleNormal="100" workbookViewId="0">
      <selection activeCell="L1" sqref="E1:L1048576"/>
    </sheetView>
  </sheetViews>
  <sheetFormatPr defaultColWidth="9.109375" defaultRowHeight="13.8"/>
  <cols>
    <col min="1" max="1" width="5.5546875" style="208" customWidth="1"/>
    <col min="2" max="2" width="56.109375" style="11" customWidth="1"/>
    <col min="3" max="3" width="8.109375" style="11" customWidth="1"/>
    <col min="4" max="4" width="5.88671875" style="14" customWidth="1"/>
    <col min="5" max="16384" width="9.109375" style="11"/>
  </cols>
  <sheetData>
    <row r="6" spans="1:5">
      <c r="E6" s="14"/>
    </row>
    <row r="7" spans="1:5" s="9" customFormat="1">
      <c r="B7" s="265" t="s">
        <v>591</v>
      </c>
    </row>
    <row r="8" spans="1:5" s="9" customFormat="1">
      <c r="B8" s="265" t="s">
        <v>586</v>
      </c>
    </row>
    <row r="9" spans="1:5" s="31" customFormat="1">
      <c r="A9" s="208"/>
      <c r="B9" s="13"/>
      <c r="C9" s="57"/>
      <c r="D9" s="57"/>
    </row>
    <row r="10" spans="1:5" s="9" customFormat="1" ht="18">
      <c r="B10" s="291" t="s">
        <v>128</v>
      </c>
      <c r="C10" s="11"/>
      <c r="D10" s="22"/>
    </row>
    <row r="11" spans="1:5" s="9" customFormat="1" ht="18">
      <c r="B11" s="291" t="s">
        <v>133</v>
      </c>
      <c r="C11" s="11"/>
      <c r="D11" s="22"/>
    </row>
    <row r="12" spans="1:5" s="23" customFormat="1" ht="18">
      <c r="B12" s="291" t="s">
        <v>75</v>
      </c>
      <c r="C12" s="11"/>
    </row>
    <row r="13" spans="1:5">
      <c r="B13" s="13"/>
    </row>
    <row r="14" spans="1:5" ht="18">
      <c r="B14" s="292" t="s">
        <v>317</v>
      </c>
    </row>
    <row r="15" spans="1:5" s="31" customFormat="1" ht="13.2">
      <c r="B15" s="293" t="s">
        <v>587</v>
      </c>
      <c r="C15" s="57"/>
      <c r="D15" s="57"/>
    </row>
    <row r="16" spans="1:5">
      <c r="D16" s="16"/>
    </row>
    <row r="17" spans="1:6">
      <c r="A17" s="317" t="s">
        <v>0</v>
      </c>
      <c r="B17" s="317" t="s">
        <v>20</v>
      </c>
      <c r="C17" s="317" t="s">
        <v>21</v>
      </c>
      <c r="D17" s="317" t="s">
        <v>22</v>
      </c>
    </row>
    <row r="18" spans="1:6">
      <c r="A18" s="317"/>
      <c r="B18" s="317"/>
      <c r="C18" s="317"/>
      <c r="D18" s="317"/>
    </row>
    <row r="19" spans="1:6" s="234" customFormat="1" ht="12" customHeight="1">
      <c r="A19" s="250" t="s">
        <v>402</v>
      </c>
      <c r="B19" s="294" t="s">
        <v>403</v>
      </c>
      <c r="C19" s="285"/>
      <c r="D19" s="285"/>
    </row>
    <row r="20" spans="1:6" s="234" customFormat="1" ht="13.2">
      <c r="A20" s="252"/>
      <c r="B20" s="295"/>
      <c r="C20" s="285"/>
      <c r="D20" s="285"/>
    </row>
    <row r="21" spans="1:6" s="234" customFormat="1" ht="118.8">
      <c r="A21" s="254">
        <v>1</v>
      </c>
      <c r="B21" s="287" t="s">
        <v>834</v>
      </c>
      <c r="C21" s="255">
        <f>'Det-Boil'!G10</f>
        <v>60</v>
      </c>
      <c r="D21" s="255" t="s">
        <v>9</v>
      </c>
    </row>
    <row r="22" spans="1:6" s="234" customFormat="1" ht="13.2">
      <c r="A22" s="252"/>
      <c r="B22" s="287"/>
      <c r="C22" s="255"/>
      <c r="D22" s="255"/>
    </row>
    <row r="23" spans="1:6" s="234" customFormat="1" ht="13.2">
      <c r="A23" s="254">
        <f>A21+1</f>
        <v>2</v>
      </c>
      <c r="B23" s="287" t="s">
        <v>130</v>
      </c>
      <c r="C23" s="255">
        <f>'Det-Boil'!G17</f>
        <v>20</v>
      </c>
      <c r="D23" s="255" t="s">
        <v>9</v>
      </c>
    </row>
    <row r="24" spans="1:6" s="234" customFormat="1" ht="13.2">
      <c r="A24" s="252"/>
      <c r="B24" s="287"/>
      <c r="C24" s="252"/>
      <c r="D24" s="252"/>
    </row>
    <row r="25" spans="1:6" s="234" customFormat="1" ht="79.2">
      <c r="A25" s="254">
        <f>A23+1</f>
        <v>3</v>
      </c>
      <c r="B25" s="287" t="s">
        <v>835</v>
      </c>
      <c r="C25" s="255">
        <f>'Det-Boil'!G26</f>
        <v>80</v>
      </c>
      <c r="D25" s="255" t="s">
        <v>9</v>
      </c>
    </row>
    <row r="26" spans="1:6" s="234" customFormat="1" ht="13.2">
      <c r="A26" s="254"/>
      <c r="B26" s="287"/>
      <c r="C26" s="255"/>
      <c r="D26" s="255"/>
    </row>
    <row r="27" spans="1:6" s="234" customFormat="1" ht="39.6">
      <c r="A27" s="254">
        <f>A25+1</f>
        <v>4</v>
      </c>
      <c r="B27" s="287" t="s">
        <v>836</v>
      </c>
      <c r="C27" s="255">
        <f>'Det-Boil'!G28</f>
        <v>84</v>
      </c>
      <c r="D27" s="255" t="s">
        <v>9</v>
      </c>
    </row>
    <row r="28" spans="1:6" s="234" customFormat="1" ht="13.2">
      <c r="A28" s="254"/>
      <c r="B28" s="287"/>
      <c r="C28" s="255"/>
      <c r="D28" s="255"/>
    </row>
    <row r="29" spans="1:6" s="234" customFormat="1" ht="52.8">
      <c r="A29" s="254">
        <f>A27+1</f>
        <v>5</v>
      </c>
      <c r="B29" s="287" t="s">
        <v>837</v>
      </c>
      <c r="C29" s="255">
        <f>'Det-Boil'!G32</f>
        <v>44</v>
      </c>
      <c r="D29" s="255" t="s">
        <v>9</v>
      </c>
      <c r="F29" s="239"/>
    </row>
    <row r="30" spans="1:6" s="234" customFormat="1" ht="13.2">
      <c r="A30" s="254"/>
      <c r="B30" s="287"/>
      <c r="C30" s="252"/>
      <c r="D30" s="252"/>
    </row>
    <row r="31" spans="1:6" s="234" customFormat="1" ht="68.25" customHeight="1">
      <c r="A31" s="254">
        <f>A29+1</f>
        <v>6</v>
      </c>
      <c r="B31" s="287" t="s">
        <v>838</v>
      </c>
      <c r="C31" s="255">
        <f>'Det-Boil'!G40</f>
        <v>93</v>
      </c>
      <c r="D31" s="255" t="s">
        <v>9</v>
      </c>
      <c r="F31" s="239"/>
    </row>
    <row r="32" spans="1:6" s="234" customFormat="1" ht="13.2">
      <c r="A32" s="254"/>
      <c r="B32" s="287"/>
      <c r="C32" s="252"/>
      <c r="D32" s="252"/>
      <c r="F32" s="239"/>
    </row>
    <row r="33" spans="1:4" s="234" customFormat="1" ht="76.5" customHeight="1">
      <c r="A33" s="254">
        <f>A31+1</f>
        <v>7</v>
      </c>
      <c r="B33" s="287" t="s">
        <v>839</v>
      </c>
      <c r="C33" s="255">
        <f>'Det-Boil'!G44</f>
        <v>1</v>
      </c>
      <c r="D33" s="255" t="s">
        <v>9</v>
      </c>
    </row>
    <row r="34" spans="1:4" s="234" customFormat="1" ht="13.2">
      <c r="A34" s="254"/>
      <c r="B34" s="288"/>
      <c r="C34" s="255"/>
      <c r="D34" s="255"/>
    </row>
    <row r="35" spans="1:4" s="234" customFormat="1" ht="171.6">
      <c r="A35" s="254"/>
      <c r="B35" s="289" t="s">
        <v>840</v>
      </c>
      <c r="C35" s="255"/>
      <c r="D35" s="252"/>
    </row>
    <row r="36" spans="1:4" s="234" customFormat="1" ht="13.2">
      <c r="A36" s="254">
        <f>A33+1</f>
        <v>8</v>
      </c>
      <c r="B36" s="287" t="s">
        <v>908</v>
      </c>
      <c r="C36" s="255">
        <f>'Det-Boil'!G51</f>
        <v>15</v>
      </c>
      <c r="D36" s="255" t="s">
        <v>9</v>
      </c>
    </row>
    <row r="37" spans="1:4" s="234" customFormat="1" ht="13.2">
      <c r="A37" s="254"/>
      <c r="B37" s="288"/>
      <c r="C37" s="255"/>
      <c r="D37" s="255"/>
    </row>
    <row r="38" spans="1:4" s="234" customFormat="1" ht="13.2">
      <c r="A38" s="254">
        <f>A36+1</f>
        <v>9</v>
      </c>
      <c r="B38" s="287" t="s">
        <v>909</v>
      </c>
      <c r="C38" s="255">
        <f>'Det-Boil'!G63</f>
        <v>13</v>
      </c>
      <c r="D38" s="255" t="s">
        <v>9</v>
      </c>
    </row>
    <row r="39" spans="1:4" s="234" customFormat="1" ht="13.2">
      <c r="A39" s="254"/>
      <c r="B39" s="287"/>
      <c r="C39" s="255"/>
      <c r="D39" s="255"/>
    </row>
    <row r="40" spans="1:4" s="234" customFormat="1" ht="13.2">
      <c r="A40" s="254">
        <f>A38+1</f>
        <v>10</v>
      </c>
      <c r="B40" s="287" t="s">
        <v>910</v>
      </c>
      <c r="C40" s="255">
        <f>'Det-Boil'!G71</f>
        <v>8</v>
      </c>
      <c r="D40" s="255" t="s">
        <v>9</v>
      </c>
    </row>
    <row r="41" spans="1:4" s="234" customFormat="1" ht="13.2">
      <c r="A41" s="254"/>
      <c r="B41" s="287"/>
      <c r="C41" s="255"/>
      <c r="D41" s="255"/>
    </row>
    <row r="42" spans="1:4" s="234" customFormat="1" ht="13.2">
      <c r="A42" s="254">
        <f>A40+1</f>
        <v>11</v>
      </c>
      <c r="B42" s="287" t="s">
        <v>912</v>
      </c>
      <c r="C42" s="255">
        <f>'Det-Boil'!G78</f>
        <v>15</v>
      </c>
      <c r="D42" s="255" t="s">
        <v>9</v>
      </c>
    </row>
    <row r="43" spans="1:4" s="234" customFormat="1" ht="13.2">
      <c r="A43" s="254"/>
      <c r="B43" s="287"/>
      <c r="C43" s="255"/>
      <c r="D43" s="255"/>
    </row>
    <row r="44" spans="1:4" s="234" customFormat="1" ht="13.2">
      <c r="A44" s="254">
        <f>A42+1</f>
        <v>12</v>
      </c>
      <c r="B44" s="287" t="s">
        <v>916</v>
      </c>
      <c r="C44" s="255">
        <f>'Det-Boil'!G87</f>
        <v>3</v>
      </c>
      <c r="D44" s="255" t="s">
        <v>9</v>
      </c>
    </row>
    <row r="45" spans="1:4" s="234" customFormat="1" ht="13.2">
      <c r="A45" s="254"/>
      <c r="B45" s="287"/>
      <c r="C45" s="255"/>
      <c r="D45" s="255"/>
    </row>
    <row r="46" spans="1:4" s="234" customFormat="1" ht="26.4">
      <c r="A46" s="254"/>
      <c r="B46" s="289" t="s">
        <v>851</v>
      </c>
      <c r="C46" s="252"/>
      <c r="D46" s="252"/>
    </row>
    <row r="47" spans="1:4" s="234" customFormat="1" ht="13.2">
      <c r="A47" s="254">
        <f>A44+1</f>
        <v>13</v>
      </c>
      <c r="B47" s="287" t="s">
        <v>852</v>
      </c>
      <c r="C47" s="255">
        <f>'Det-Boil'!G98</f>
        <v>38</v>
      </c>
      <c r="D47" s="255" t="s">
        <v>47</v>
      </c>
    </row>
    <row r="48" spans="1:4" s="234" customFormat="1" ht="13.2">
      <c r="A48" s="254"/>
      <c r="B48" s="289"/>
      <c r="C48" s="252"/>
      <c r="D48" s="252"/>
    </row>
    <row r="49" spans="1:4" s="234" customFormat="1" ht="13.2">
      <c r="A49" s="254">
        <f>A47+1</f>
        <v>14</v>
      </c>
      <c r="B49" s="287" t="s">
        <v>853</v>
      </c>
      <c r="C49" s="255">
        <f>'Det-Boil'!G108</f>
        <v>224</v>
      </c>
      <c r="D49" s="255" t="s">
        <v>47</v>
      </c>
    </row>
    <row r="50" spans="1:4" s="234" customFormat="1" ht="13.2">
      <c r="A50" s="254"/>
      <c r="B50" s="284"/>
      <c r="C50" s="252"/>
      <c r="D50" s="252"/>
    </row>
    <row r="51" spans="1:4" s="234" customFormat="1" ht="13.2">
      <c r="A51" s="254">
        <f>A49+1</f>
        <v>15</v>
      </c>
      <c r="B51" s="287" t="s">
        <v>854</v>
      </c>
      <c r="C51" s="255">
        <f>'Det-Boil'!G116</f>
        <v>82</v>
      </c>
      <c r="D51" s="255" t="s">
        <v>47</v>
      </c>
    </row>
    <row r="52" spans="1:4" s="234" customFormat="1" ht="13.2">
      <c r="A52" s="254"/>
      <c r="B52" s="283"/>
      <c r="C52" s="255"/>
      <c r="D52" s="255"/>
    </row>
    <row r="53" spans="1:4" s="234" customFormat="1" ht="13.2">
      <c r="A53" s="254">
        <f>A51+1</f>
        <v>16</v>
      </c>
      <c r="B53" s="287" t="s">
        <v>855</v>
      </c>
      <c r="C53" s="255">
        <f>'Det-Boil'!G123</f>
        <v>163</v>
      </c>
      <c r="D53" s="255" t="s">
        <v>47</v>
      </c>
    </row>
    <row r="54" spans="1:4" s="234" customFormat="1" ht="13.2">
      <c r="A54" s="254"/>
      <c r="B54" s="283"/>
      <c r="C54" s="255"/>
      <c r="D54" s="255"/>
    </row>
    <row r="55" spans="1:4" s="234" customFormat="1" ht="13.2">
      <c r="A55" s="254">
        <f>A53+1</f>
        <v>17</v>
      </c>
      <c r="B55" s="287" t="s">
        <v>917</v>
      </c>
      <c r="C55" s="255">
        <f>'Det-Boil'!G131</f>
        <v>22</v>
      </c>
      <c r="D55" s="255" t="s">
        <v>47</v>
      </c>
    </row>
    <row r="56" spans="1:4" s="234" customFormat="1" ht="13.2">
      <c r="A56" s="254"/>
      <c r="B56" s="283"/>
      <c r="C56" s="252"/>
      <c r="D56" s="252"/>
    </row>
    <row r="57" spans="1:4" s="234" customFormat="1" ht="97.5" customHeight="1">
      <c r="A57" s="254">
        <f>A55+1</f>
        <v>18</v>
      </c>
      <c r="B57" s="287" t="s">
        <v>936</v>
      </c>
      <c r="C57" s="255">
        <f>'Det-Boil'!G141</f>
        <v>8875</v>
      </c>
      <c r="D57" s="255" t="s">
        <v>61</v>
      </c>
    </row>
    <row r="58" spans="1:4" s="234" customFormat="1" ht="13.2">
      <c r="A58" s="254"/>
      <c r="B58" s="287"/>
      <c r="C58" s="252"/>
      <c r="D58" s="252"/>
    </row>
    <row r="59" spans="1:4" s="234" customFormat="1" ht="92.4">
      <c r="A59" s="254">
        <f>A57+1</f>
        <v>19</v>
      </c>
      <c r="B59" s="287" t="s">
        <v>862</v>
      </c>
      <c r="C59" s="255">
        <f>'Det-Boil'!G151</f>
        <v>43</v>
      </c>
      <c r="D59" s="255" t="s">
        <v>9</v>
      </c>
    </row>
    <row r="60" spans="1:4" s="234" customFormat="1" ht="13.2">
      <c r="A60" s="254"/>
      <c r="B60" s="287"/>
      <c r="C60" s="252"/>
      <c r="D60" s="252"/>
    </row>
    <row r="61" spans="1:4" s="247" customFormat="1" ht="92.4">
      <c r="A61" s="254">
        <f>A59+1</f>
        <v>20</v>
      </c>
      <c r="B61" s="296" t="s">
        <v>918</v>
      </c>
      <c r="C61" s="297">
        <f>'Det-Boil'!G156</f>
        <v>397</v>
      </c>
      <c r="D61" s="255" t="s">
        <v>401</v>
      </c>
    </row>
    <row r="62" spans="1:4" s="247" customFormat="1" ht="13.2">
      <c r="A62" s="254"/>
      <c r="B62" s="287"/>
      <c r="C62" s="298"/>
      <c r="D62" s="252"/>
    </row>
    <row r="63" spans="1:4" s="234" customFormat="1" ht="66">
      <c r="A63" s="254">
        <f>A61+1</f>
        <v>21</v>
      </c>
      <c r="B63" s="287" t="s">
        <v>919</v>
      </c>
      <c r="C63" s="297">
        <f>'Det-Boil'!G160</f>
        <v>19</v>
      </c>
      <c r="D63" s="255" t="s">
        <v>17</v>
      </c>
    </row>
    <row r="64" spans="1:4" s="234" customFormat="1" ht="13.2">
      <c r="A64" s="254"/>
      <c r="B64" s="290"/>
      <c r="C64" s="252"/>
      <c r="D64" s="252"/>
    </row>
    <row r="65" spans="1:6" s="234" customFormat="1" ht="66">
      <c r="A65" s="254">
        <f>A61+1</f>
        <v>21</v>
      </c>
      <c r="B65" s="287" t="s">
        <v>901</v>
      </c>
      <c r="C65" s="255">
        <f>'Det-Boil'!G174</f>
        <v>9273</v>
      </c>
      <c r="D65" s="255" t="s">
        <v>61</v>
      </c>
      <c r="E65" s="242"/>
      <c r="F65" s="243"/>
    </row>
    <row r="66" spans="1:6" s="234" customFormat="1" ht="13.2">
      <c r="A66" s="254"/>
      <c r="B66" s="287"/>
      <c r="C66" s="252"/>
      <c r="D66" s="252"/>
      <c r="E66" s="242"/>
      <c r="F66" s="243"/>
    </row>
    <row r="67" spans="1:6" s="234" customFormat="1" ht="66">
      <c r="A67" s="254">
        <f>A65+1</f>
        <v>22</v>
      </c>
      <c r="B67" s="287" t="s">
        <v>902</v>
      </c>
      <c r="C67" s="255">
        <f>'Det-Boil'!G183</f>
        <v>366</v>
      </c>
      <c r="D67" s="255" t="s">
        <v>17</v>
      </c>
      <c r="E67" s="242"/>
      <c r="F67" s="243"/>
    </row>
    <row r="68" spans="1:6" s="234" customFormat="1" ht="13.2">
      <c r="A68" s="254"/>
      <c r="B68" s="287"/>
      <c r="C68" s="252"/>
      <c r="D68" s="252"/>
      <c r="E68" s="242"/>
      <c r="F68" s="243"/>
    </row>
    <row r="69" spans="1:6" s="234" customFormat="1" ht="13.2">
      <c r="A69" s="254">
        <f>A67+1</f>
        <v>23</v>
      </c>
      <c r="B69" s="287" t="s">
        <v>920</v>
      </c>
      <c r="C69" s="255">
        <f>'Det-Boil'!G186</f>
        <v>36</v>
      </c>
      <c r="D69" s="255" t="s">
        <v>53</v>
      </c>
      <c r="E69" s="242"/>
      <c r="F69" s="243"/>
    </row>
    <row r="70" spans="1:6" s="234" customFormat="1" ht="13.2">
      <c r="A70" s="254"/>
      <c r="B70" s="287"/>
      <c r="C70" s="255"/>
      <c r="D70" s="255"/>
      <c r="E70" s="242"/>
      <c r="F70" s="243"/>
    </row>
    <row r="71" spans="1:6" s="234" customFormat="1" ht="13.2">
      <c r="A71" s="254">
        <f>A69+1</f>
        <v>24</v>
      </c>
      <c r="B71" s="287" t="s">
        <v>921</v>
      </c>
      <c r="C71" s="255">
        <f>'Det-Boil'!G189</f>
        <v>18</v>
      </c>
      <c r="D71" s="255" t="s">
        <v>53</v>
      </c>
      <c r="E71" s="242"/>
      <c r="F71" s="243"/>
    </row>
    <row r="72" spans="1:6" s="234" customFormat="1" ht="13.2">
      <c r="A72" s="254"/>
      <c r="B72" s="287"/>
      <c r="C72" s="255"/>
      <c r="D72" s="255"/>
      <c r="E72" s="242"/>
      <c r="F72" s="243"/>
    </row>
    <row r="73" spans="1:6" s="234" customFormat="1" ht="13.2">
      <c r="A73" s="254">
        <f>A71+1</f>
        <v>25</v>
      </c>
      <c r="B73" s="287" t="s">
        <v>922</v>
      </c>
      <c r="C73" s="255">
        <f>'Det-Boil'!G195</f>
        <v>93</v>
      </c>
      <c r="D73" s="255" t="s">
        <v>53</v>
      </c>
      <c r="E73" s="242"/>
      <c r="F73" s="243"/>
    </row>
    <row r="74" spans="1:6" s="234" customFormat="1" ht="13.2">
      <c r="A74" s="254"/>
      <c r="B74" s="287"/>
      <c r="C74" s="255"/>
      <c r="D74" s="255"/>
      <c r="E74" s="242"/>
      <c r="F74" s="243"/>
    </row>
    <row r="75" spans="1:6" s="234" customFormat="1" ht="79.5" customHeight="1">
      <c r="A75" s="254">
        <f>A73+1</f>
        <v>26</v>
      </c>
      <c r="B75" s="289" t="s">
        <v>880</v>
      </c>
      <c r="C75" s="255">
        <f>'Det-Boil'!G205</f>
        <v>214</v>
      </c>
      <c r="D75" s="255" t="s">
        <v>17</v>
      </c>
      <c r="E75" s="242"/>
      <c r="F75" s="243"/>
    </row>
    <row r="76" spans="1:6" s="234" customFormat="1" ht="13.2">
      <c r="A76" s="254"/>
      <c r="B76" s="289"/>
      <c r="C76" s="252"/>
      <c r="D76" s="252"/>
      <c r="E76" s="242"/>
      <c r="F76" s="243"/>
    </row>
    <row r="77" spans="1:6" s="234" customFormat="1" ht="79.2">
      <c r="A77" s="254">
        <f>A75+1</f>
        <v>27</v>
      </c>
      <c r="B77" s="287" t="s">
        <v>882</v>
      </c>
      <c r="C77" s="255">
        <f>'Det-Boil'!G211</f>
        <v>214</v>
      </c>
      <c r="D77" s="255" t="s">
        <v>17</v>
      </c>
      <c r="E77" s="242"/>
      <c r="F77" s="243"/>
    </row>
    <row r="78" spans="1:6" s="234" customFormat="1" ht="13.2">
      <c r="A78" s="254"/>
      <c r="B78" s="290"/>
      <c r="C78" s="252"/>
      <c r="D78" s="252"/>
      <c r="E78" s="242"/>
      <c r="F78" s="243"/>
    </row>
    <row r="79" spans="1:6" s="234" customFormat="1" ht="79.5" customHeight="1">
      <c r="A79" s="254">
        <f>A77+1</f>
        <v>28</v>
      </c>
      <c r="B79" s="287" t="s">
        <v>923</v>
      </c>
      <c r="C79" s="255">
        <f>'Det-Boil'!G215</f>
        <v>216</v>
      </c>
      <c r="D79" s="255" t="s">
        <v>17</v>
      </c>
    </row>
    <row r="80" spans="1:6" s="234" customFormat="1" ht="13.2">
      <c r="A80" s="254"/>
      <c r="B80" s="290"/>
      <c r="C80" s="252"/>
      <c r="D80" s="252"/>
    </row>
    <row r="81" spans="1:4" s="234" customFormat="1" ht="40.5" customHeight="1">
      <c r="A81" s="254">
        <f>A79+1</f>
        <v>29</v>
      </c>
      <c r="B81" s="287" t="s">
        <v>899</v>
      </c>
      <c r="C81" s="255">
        <f>'Det-Boil'!G222</f>
        <v>428</v>
      </c>
      <c r="D81" s="255" t="s">
        <v>17</v>
      </c>
    </row>
    <row r="82" spans="1:4" s="234" customFormat="1" ht="13.2">
      <c r="A82" s="254"/>
      <c r="B82" s="287"/>
      <c r="C82" s="255"/>
      <c r="D82" s="255"/>
    </row>
    <row r="83" spans="1:4" s="234" customFormat="1" ht="52.8">
      <c r="A83" s="254">
        <f>A81+1</f>
        <v>30</v>
      </c>
      <c r="B83" s="289" t="s">
        <v>924</v>
      </c>
      <c r="C83" s="255">
        <f>'Det-Boil'!G225</f>
        <v>90</v>
      </c>
      <c r="D83" s="255" t="s">
        <v>17</v>
      </c>
    </row>
    <row r="84" spans="1:4" s="9" customFormat="1">
      <c r="A84" s="229"/>
      <c r="B84" s="17"/>
      <c r="C84" s="4"/>
      <c r="D84" s="5"/>
    </row>
    <row r="85" spans="1:4" s="9" customFormat="1" hidden="1">
      <c r="A85" s="214"/>
      <c r="B85" s="87" t="s">
        <v>23</v>
      </c>
      <c r="C85" s="88"/>
      <c r="D85" s="89"/>
    </row>
    <row r="86" spans="1:4" s="9" customFormat="1" hidden="1">
      <c r="A86" s="208"/>
      <c r="B86" s="90"/>
      <c r="C86" s="11"/>
      <c r="D86" s="14"/>
    </row>
    <row r="87" spans="1:4" hidden="1">
      <c r="A87" s="208">
        <v>1</v>
      </c>
      <c r="B87" s="59" t="s">
        <v>588</v>
      </c>
    </row>
    <row r="88" spans="1:4" hidden="1"/>
    <row r="89" spans="1:4" hidden="1">
      <c r="A89" s="214"/>
      <c r="B89" s="87" t="s">
        <v>23</v>
      </c>
      <c r="C89" s="88"/>
      <c r="D89" s="91"/>
    </row>
    <row r="90" spans="1:4" hidden="1">
      <c r="B90" s="90"/>
    </row>
    <row r="91" spans="1:4" hidden="1">
      <c r="A91" s="208">
        <v>2</v>
      </c>
      <c r="B91" s="11" t="s">
        <v>404</v>
      </c>
    </row>
    <row r="92" spans="1:4" hidden="1"/>
    <row r="93" spans="1:4" hidden="1">
      <c r="A93" s="216"/>
      <c r="B93" s="93" t="s">
        <v>585</v>
      </c>
      <c r="C93" s="94"/>
      <c r="D93" s="95"/>
    </row>
    <row r="94" spans="1:4" hidden="1">
      <c r="A94" s="216"/>
      <c r="B94" s="94"/>
      <c r="C94" s="94"/>
      <c r="D94" s="95"/>
    </row>
    <row r="95" spans="1:4" hidden="1">
      <c r="A95" s="214"/>
      <c r="B95" s="87" t="s">
        <v>23</v>
      </c>
      <c r="C95" s="88"/>
      <c r="D95" s="89"/>
    </row>
    <row r="96" spans="1:4" ht="14.4" hidden="1" thickBot="1">
      <c r="A96" s="217"/>
      <c r="B96" s="97" t="s">
        <v>407</v>
      </c>
      <c r="C96" s="60"/>
      <c r="D96" s="98"/>
    </row>
    <row r="97" hidden="1"/>
  </sheetData>
  <mergeCells count="4">
    <mergeCell ref="A17:A18"/>
    <mergeCell ref="B17:B18"/>
    <mergeCell ref="C17:C18"/>
    <mergeCell ref="D17:D18"/>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5"/>
  <sheetViews>
    <sheetView topLeftCell="A136" workbookViewId="0">
      <selection activeCell="F182" sqref="F182"/>
    </sheetView>
  </sheetViews>
  <sheetFormatPr defaultColWidth="9.109375" defaultRowHeight="13.8"/>
  <cols>
    <col min="1" max="1" width="5.44140625" style="31" customWidth="1"/>
    <col min="2" max="2" width="38.44140625" style="31" customWidth="1"/>
    <col min="3" max="3" width="6.6640625" style="31" customWidth="1"/>
    <col min="4" max="4" width="9.33203125" style="31" customWidth="1"/>
    <col min="5" max="5" width="9.44140625" style="31" bestFit="1" customWidth="1"/>
    <col min="6" max="6" width="8" style="31" customWidth="1"/>
    <col min="7" max="7" width="11.33203125" style="31" bestFit="1" customWidth="1"/>
    <col min="8" max="8" width="6" style="31" customWidth="1"/>
    <col min="9" max="9" width="9.109375" style="31"/>
    <col min="10" max="10" width="11.6640625" style="9" customWidth="1"/>
    <col min="11" max="11" width="9.109375" style="9"/>
    <col min="12" max="16384" width="9.109375" style="31"/>
  </cols>
  <sheetData>
    <row r="1" spans="1:9" s="31" customFormat="1">
      <c r="B1" s="15" t="s">
        <v>306</v>
      </c>
    </row>
    <row r="2" spans="1:9" s="31" customFormat="1">
      <c r="B2" s="15"/>
    </row>
    <row r="3" spans="1:9" s="31" customFormat="1">
      <c r="A3" s="77" t="s">
        <v>0</v>
      </c>
      <c r="B3" s="78" t="s">
        <v>1</v>
      </c>
      <c r="C3" s="78" t="s">
        <v>2</v>
      </c>
      <c r="D3" s="78" t="s">
        <v>3</v>
      </c>
      <c r="E3" s="78" t="s">
        <v>4</v>
      </c>
      <c r="F3" s="78" t="s">
        <v>5</v>
      </c>
      <c r="G3" s="78" t="s">
        <v>6</v>
      </c>
      <c r="H3" s="78" t="s">
        <v>7</v>
      </c>
      <c r="I3" s="9"/>
    </row>
    <row r="4" spans="1:9" s="31" customFormat="1">
      <c r="A4" s="44"/>
      <c r="B4" s="24"/>
      <c r="C4" s="24"/>
      <c r="D4" s="24"/>
      <c r="E4" s="24"/>
      <c r="F4" s="24"/>
      <c r="G4" s="24"/>
      <c r="H4" s="24"/>
      <c r="I4" s="9"/>
    </row>
    <row r="5" spans="1:9" s="31" customFormat="1">
      <c r="A5" s="18">
        <v>1</v>
      </c>
      <c r="B5" s="8" t="s">
        <v>76</v>
      </c>
      <c r="C5" s="1"/>
      <c r="D5" s="5"/>
      <c r="E5" s="5"/>
      <c r="F5" s="5"/>
      <c r="G5" s="4"/>
      <c r="H5" s="1"/>
      <c r="I5" s="9"/>
    </row>
    <row r="6" spans="1:9" s="31" customFormat="1">
      <c r="A6" s="18"/>
      <c r="B6" s="46" t="s">
        <v>8</v>
      </c>
      <c r="C6" s="1">
        <v>9</v>
      </c>
      <c r="D6" s="5">
        <v>1.65</v>
      </c>
      <c r="E6" s="5">
        <v>1.65</v>
      </c>
      <c r="F6" s="5">
        <v>1.5</v>
      </c>
      <c r="G6" s="4">
        <f>C6*D6*E6*F6</f>
        <v>36.753749999999997</v>
      </c>
      <c r="H6" s="1" t="s">
        <v>12</v>
      </c>
      <c r="I6" s="9"/>
    </row>
    <row r="7" spans="1:9" s="31" customFormat="1">
      <c r="A7" s="18"/>
      <c r="B7" s="46"/>
      <c r="C7" s="1">
        <v>4</v>
      </c>
      <c r="D7" s="5">
        <v>1.95</v>
      </c>
      <c r="E7" s="5">
        <v>1.95</v>
      </c>
      <c r="F7" s="5">
        <v>1.5</v>
      </c>
      <c r="G7" s="4">
        <f>C7*D7*E7*F7</f>
        <v>22.814999999999998</v>
      </c>
      <c r="H7" s="1" t="s">
        <v>10</v>
      </c>
      <c r="I7" s="9"/>
    </row>
    <row r="8" spans="1:9" s="31" customFormat="1">
      <c r="A8" s="18"/>
      <c r="B8" s="46"/>
      <c r="C8" s="46"/>
      <c r="D8" s="2"/>
      <c r="E8" s="2"/>
      <c r="F8" s="2"/>
      <c r="G8" s="4"/>
      <c r="H8" s="1"/>
      <c r="I8" s="9"/>
    </row>
    <row r="9" spans="1:9" s="31" customFormat="1">
      <c r="A9" s="18"/>
      <c r="B9" s="8"/>
      <c r="C9" s="46"/>
      <c r="D9" s="46"/>
      <c r="E9" s="74"/>
      <c r="F9" s="100" t="s">
        <v>11</v>
      </c>
      <c r="G9" s="53">
        <f>SUM(G6:G8)</f>
        <v>59.568749999999994</v>
      </c>
      <c r="H9" s="50" t="s">
        <v>12</v>
      </c>
      <c r="I9" s="9"/>
    </row>
    <row r="10" spans="1:9" s="31" customFormat="1">
      <c r="A10" s="18"/>
      <c r="B10" s="8"/>
      <c r="C10" s="46"/>
      <c r="D10" s="46"/>
      <c r="E10" s="46"/>
      <c r="F10" s="75" t="s">
        <v>13</v>
      </c>
      <c r="G10" s="27">
        <f>ROUNDUP(G9,0)</f>
        <v>60</v>
      </c>
      <c r="H10" s="28" t="s">
        <v>9</v>
      </c>
      <c r="I10" s="9"/>
    </row>
    <row r="11" spans="1:9" s="31" customFormat="1">
      <c r="A11" s="44"/>
      <c r="B11" s="24"/>
      <c r="C11" s="24"/>
      <c r="D11" s="24"/>
      <c r="E11" s="24"/>
      <c r="F11" s="24"/>
      <c r="G11" s="24"/>
      <c r="H11" s="24"/>
      <c r="I11" s="9"/>
    </row>
    <row r="12" spans="1:9" s="31" customFormat="1">
      <c r="A12" s="18">
        <f>A5+1</f>
        <v>2</v>
      </c>
      <c r="B12" s="8" t="s">
        <v>77</v>
      </c>
      <c r="C12" s="1"/>
      <c r="D12" s="5"/>
      <c r="E12" s="5"/>
      <c r="F12" s="5"/>
      <c r="G12" s="4"/>
      <c r="H12" s="1"/>
      <c r="I12" s="9"/>
    </row>
    <row r="13" spans="1:9" s="31" customFormat="1">
      <c r="A13" s="18"/>
      <c r="B13" s="46" t="s">
        <v>8</v>
      </c>
      <c r="C13" s="1">
        <v>9</v>
      </c>
      <c r="D13" s="5">
        <v>1.65</v>
      </c>
      <c r="E13" s="5">
        <v>1.65</v>
      </c>
      <c r="F13" s="5">
        <v>0.5</v>
      </c>
      <c r="G13" s="4">
        <f>C13*D13*E13*F13</f>
        <v>12.251249999999999</v>
      </c>
      <c r="H13" s="1" t="s">
        <v>12</v>
      </c>
      <c r="I13" s="9"/>
    </row>
    <row r="14" spans="1:9" s="31" customFormat="1">
      <c r="A14" s="18"/>
      <c r="B14" s="46"/>
      <c r="C14" s="1">
        <v>4</v>
      </c>
      <c r="D14" s="5">
        <v>1.95</v>
      </c>
      <c r="E14" s="5">
        <v>1.95</v>
      </c>
      <c r="F14" s="5">
        <v>0.5</v>
      </c>
      <c r="G14" s="4">
        <f>C14*D14*E14*F14</f>
        <v>7.6049999999999995</v>
      </c>
      <c r="H14" s="1" t="s">
        <v>10</v>
      </c>
      <c r="I14" s="9"/>
    </row>
    <row r="15" spans="1:9" s="31" customFormat="1">
      <c r="A15" s="18"/>
      <c r="B15" s="46"/>
      <c r="C15" s="46"/>
      <c r="D15" s="2"/>
      <c r="E15" s="2"/>
      <c r="F15" s="2"/>
      <c r="G15" s="4"/>
      <c r="H15" s="1"/>
      <c r="I15" s="9"/>
    </row>
    <row r="16" spans="1:9" s="31" customFormat="1">
      <c r="A16" s="18"/>
      <c r="B16" s="8"/>
      <c r="C16" s="46"/>
      <c r="D16" s="46"/>
      <c r="E16" s="74"/>
      <c r="F16" s="100" t="s">
        <v>11</v>
      </c>
      <c r="G16" s="53">
        <f>SUM(G13:G15)</f>
        <v>19.856249999999999</v>
      </c>
      <c r="H16" s="50" t="s">
        <v>12</v>
      </c>
      <c r="I16" s="9"/>
    </row>
    <row r="17" spans="1:10" s="31" customFormat="1">
      <c r="A17" s="18"/>
      <c r="B17" s="8"/>
      <c r="C17" s="46"/>
      <c r="D17" s="46"/>
      <c r="E17" s="46"/>
      <c r="F17" s="75" t="s">
        <v>13</v>
      </c>
      <c r="G17" s="27">
        <f>ROUNDUP(G16,0)</f>
        <v>20</v>
      </c>
      <c r="H17" s="28" t="s">
        <v>9</v>
      </c>
      <c r="I17" s="9"/>
      <c r="J17" s="9"/>
    </row>
    <row r="18" spans="1:10" s="31" customFormat="1">
      <c r="A18" s="44"/>
      <c r="B18" s="24"/>
      <c r="C18" s="24"/>
      <c r="D18" s="24"/>
      <c r="E18" s="24"/>
      <c r="F18" s="24"/>
      <c r="G18" s="24"/>
      <c r="H18" s="24"/>
      <c r="I18" s="9"/>
      <c r="J18" s="9"/>
    </row>
    <row r="19" spans="1:10" s="31" customFormat="1">
      <c r="A19" s="18"/>
      <c r="B19" s="8" t="s">
        <v>14</v>
      </c>
      <c r="C19" s="46"/>
      <c r="D19" s="46"/>
      <c r="E19" s="46"/>
      <c r="F19" s="46"/>
      <c r="G19" s="1"/>
      <c r="H19" s="1"/>
      <c r="J19" s="9"/>
    </row>
    <row r="20" spans="1:10" s="31" customFormat="1">
      <c r="A20" s="18"/>
      <c r="B20" s="46" t="s">
        <v>66</v>
      </c>
      <c r="C20" s="1"/>
      <c r="D20" s="5"/>
      <c r="E20" s="5"/>
      <c r="F20" s="5"/>
      <c r="G20" s="4">
        <f>(G9+G16)*0.7</f>
        <v>55.597499999999997</v>
      </c>
      <c r="H20" s="1" t="s">
        <v>9</v>
      </c>
      <c r="J20" s="9"/>
    </row>
    <row r="21" spans="1:10" s="31" customFormat="1">
      <c r="A21" s="18"/>
      <c r="B21" s="46" t="s">
        <v>15</v>
      </c>
      <c r="C21" s="1">
        <v>1</v>
      </c>
      <c r="D21" s="5">
        <v>18</v>
      </c>
      <c r="E21" s="5">
        <v>12</v>
      </c>
      <c r="F21" s="5">
        <v>0.5</v>
      </c>
      <c r="G21" s="4">
        <f>C21*D21*E21*F21</f>
        <v>108</v>
      </c>
      <c r="H21" s="1" t="s">
        <v>10</v>
      </c>
      <c r="J21" s="9"/>
    </row>
    <row r="22" spans="1:10" s="31" customFormat="1">
      <c r="A22" s="18"/>
      <c r="B22" s="46"/>
      <c r="C22" s="1"/>
      <c r="D22" s="5"/>
      <c r="E22" s="5"/>
      <c r="F22" s="5"/>
      <c r="G22" s="4"/>
      <c r="H22" s="1"/>
      <c r="J22" s="9"/>
    </row>
    <row r="23" spans="1:10" s="31" customFormat="1">
      <c r="A23" s="18"/>
      <c r="B23" s="8"/>
      <c r="C23" s="46"/>
      <c r="D23" s="46"/>
      <c r="E23" s="46"/>
      <c r="F23" s="99" t="s">
        <v>11</v>
      </c>
      <c r="G23" s="53">
        <f>SUM(G20:G22)</f>
        <v>163.5975</v>
      </c>
      <c r="H23" s="50" t="s">
        <v>12</v>
      </c>
      <c r="J23" s="4"/>
    </row>
    <row r="24" spans="1:10" s="31" customFormat="1">
      <c r="A24" s="18"/>
      <c r="B24" s="44"/>
      <c r="C24" s="46"/>
      <c r="D24" s="46"/>
      <c r="E24" s="46"/>
      <c r="F24" s="75" t="s">
        <v>13</v>
      </c>
      <c r="G24" s="27">
        <f>ROUNDUP(G23,0)</f>
        <v>164</v>
      </c>
      <c r="H24" s="28" t="s">
        <v>9</v>
      </c>
      <c r="J24" s="9"/>
    </row>
    <row r="25" spans="1:10" s="31" customFormat="1">
      <c r="A25" s="18"/>
      <c r="B25" s="44"/>
      <c r="C25" s="46"/>
      <c r="D25" s="46"/>
      <c r="E25" s="46"/>
      <c r="F25" s="46"/>
      <c r="G25" s="33"/>
      <c r="H25" s="24"/>
      <c r="J25" s="9"/>
    </row>
    <row r="26" spans="1:10" s="31" customFormat="1">
      <c r="A26" s="18">
        <v>3</v>
      </c>
      <c r="B26" s="8" t="s">
        <v>78</v>
      </c>
      <c r="C26" s="1"/>
      <c r="D26" s="5"/>
      <c r="E26" s="5"/>
      <c r="F26" s="46"/>
      <c r="G26" s="33">
        <f>G10+G17</f>
        <v>80</v>
      </c>
      <c r="H26" s="24" t="s">
        <v>12</v>
      </c>
      <c r="J26" s="9"/>
    </row>
    <row r="27" spans="1:10" s="31" customFormat="1">
      <c r="A27" s="18"/>
      <c r="B27" s="44"/>
      <c r="C27" s="46"/>
      <c r="D27" s="46"/>
      <c r="E27" s="46"/>
      <c r="F27" s="46"/>
      <c r="G27" s="33"/>
      <c r="H27" s="24"/>
      <c r="J27" s="9"/>
    </row>
    <row r="28" spans="1:10" s="31" customFormat="1">
      <c r="A28" s="18">
        <v>4</v>
      </c>
      <c r="B28" s="8" t="s">
        <v>35</v>
      </c>
      <c r="C28" s="1"/>
      <c r="D28" s="5"/>
      <c r="E28" s="5"/>
      <c r="F28" s="46"/>
      <c r="G28" s="33">
        <f>G24-G26</f>
        <v>84</v>
      </c>
      <c r="H28" s="24" t="s">
        <v>12</v>
      </c>
      <c r="J28" s="9"/>
    </row>
    <row r="29" spans="1:10" s="31" customFormat="1">
      <c r="A29" s="66"/>
      <c r="C29" s="74"/>
      <c r="D29" s="74"/>
      <c r="E29" s="74"/>
      <c r="F29" s="74"/>
      <c r="J29" s="9"/>
    </row>
    <row r="30" spans="1:10" s="31" customFormat="1">
      <c r="A30" s="18">
        <v>5</v>
      </c>
      <c r="B30" s="9" t="s">
        <v>36</v>
      </c>
      <c r="C30" s="1"/>
      <c r="D30" s="5"/>
      <c r="E30" s="5"/>
      <c r="F30" s="5"/>
      <c r="G30" s="4"/>
      <c r="H30" s="1"/>
      <c r="I30" s="67"/>
      <c r="J30" s="9"/>
    </row>
    <row r="31" spans="1:10" s="31" customFormat="1">
      <c r="A31" s="18"/>
      <c r="B31" s="46"/>
      <c r="C31" s="1">
        <v>1</v>
      </c>
      <c r="D31" s="5">
        <v>18</v>
      </c>
      <c r="E31" s="5">
        <v>12</v>
      </c>
      <c r="F31" s="5">
        <v>0.2</v>
      </c>
      <c r="G31" s="4">
        <f>C31*D31*E31*F31</f>
        <v>43.2</v>
      </c>
      <c r="H31" s="1" t="s">
        <v>9</v>
      </c>
      <c r="I31" s="67"/>
      <c r="J31" s="9"/>
    </row>
    <row r="32" spans="1:10" s="31" customFormat="1">
      <c r="A32" s="18"/>
      <c r="B32" s="8"/>
      <c r="C32" s="46"/>
      <c r="D32" s="46"/>
      <c r="E32" s="46"/>
      <c r="F32" s="75" t="s">
        <v>13</v>
      </c>
      <c r="G32" s="27">
        <f>ROUNDUP(G31,0)</f>
        <v>44</v>
      </c>
      <c r="H32" s="28" t="s">
        <v>9</v>
      </c>
      <c r="I32" s="67"/>
      <c r="J32" s="9"/>
    </row>
    <row r="33" spans="1:10" s="31" customFormat="1">
      <c r="A33" s="17"/>
      <c r="B33" s="8"/>
      <c r="C33" s="74"/>
      <c r="D33" s="74"/>
      <c r="E33" s="74"/>
      <c r="F33" s="74"/>
      <c r="G33" s="72"/>
      <c r="H33" s="24"/>
      <c r="I33" s="67"/>
      <c r="J33" s="9"/>
    </row>
    <row r="34" spans="1:10" s="31" customFormat="1">
      <c r="A34" s="18">
        <v>6</v>
      </c>
      <c r="B34" s="9" t="s">
        <v>37</v>
      </c>
      <c r="C34" s="1"/>
      <c r="D34" s="5"/>
      <c r="E34" s="5"/>
      <c r="F34" s="5"/>
      <c r="G34" s="4"/>
      <c r="H34" s="1"/>
      <c r="I34" s="9"/>
      <c r="J34" s="9"/>
    </row>
    <row r="35" spans="1:10" s="31" customFormat="1">
      <c r="A35" s="18"/>
      <c r="B35" s="46" t="s">
        <v>8</v>
      </c>
      <c r="C35" s="1">
        <v>9</v>
      </c>
      <c r="D35" s="5">
        <v>1.65</v>
      </c>
      <c r="E35" s="5">
        <v>1.65</v>
      </c>
      <c r="F35" s="5">
        <v>0.15</v>
      </c>
      <c r="G35" s="4">
        <f>C35*D35*E35*F35</f>
        <v>3.6753749999999994</v>
      </c>
      <c r="H35" s="1" t="s">
        <v>12</v>
      </c>
      <c r="I35" s="9"/>
      <c r="J35" s="9"/>
    </row>
    <row r="36" spans="1:10" s="31" customFormat="1">
      <c r="A36" s="18"/>
      <c r="B36" s="46"/>
      <c r="C36" s="1">
        <v>4</v>
      </c>
      <c r="D36" s="5">
        <v>1.95</v>
      </c>
      <c r="E36" s="5">
        <v>1.95</v>
      </c>
      <c r="F36" s="5">
        <v>0.15</v>
      </c>
      <c r="G36" s="4">
        <f>C36*D36*E36*F36</f>
        <v>2.2814999999999999</v>
      </c>
      <c r="H36" s="1" t="s">
        <v>10</v>
      </c>
      <c r="I36" s="9"/>
      <c r="J36" s="9"/>
    </row>
    <row r="37" spans="1:10" s="31" customFormat="1">
      <c r="A37" s="18"/>
      <c r="B37" s="46" t="s">
        <v>16</v>
      </c>
      <c r="C37" s="1">
        <v>4</v>
      </c>
      <c r="D37" s="5">
        <v>18</v>
      </c>
      <c r="E37" s="5">
        <v>12</v>
      </c>
      <c r="F37" s="5">
        <v>0.1</v>
      </c>
      <c r="G37" s="4">
        <f>C37*D37*E37*F37</f>
        <v>86.4</v>
      </c>
      <c r="H37" s="1" t="s">
        <v>10</v>
      </c>
      <c r="I37" s="9"/>
      <c r="J37" s="9"/>
    </row>
    <row r="38" spans="1:10" s="31" customFormat="1">
      <c r="A38" s="18"/>
      <c r="B38" s="46"/>
      <c r="C38" s="46"/>
      <c r="D38" s="2"/>
      <c r="E38" s="2"/>
      <c r="F38" s="2"/>
      <c r="G38" s="4"/>
      <c r="H38" s="1"/>
      <c r="I38" s="9"/>
      <c r="J38" s="9"/>
    </row>
    <row r="39" spans="1:10" s="31" customFormat="1">
      <c r="A39" s="18"/>
      <c r="B39" s="8"/>
      <c r="C39" s="46"/>
      <c r="D39" s="46"/>
      <c r="E39" s="74"/>
      <c r="F39" s="100" t="s">
        <v>11</v>
      </c>
      <c r="G39" s="53">
        <f>SUM(G35:G38)</f>
        <v>92.356875000000002</v>
      </c>
      <c r="H39" s="50" t="s">
        <v>12</v>
      </c>
      <c r="J39" s="4"/>
    </row>
    <row r="40" spans="1:10" s="31" customFormat="1">
      <c r="A40" s="18"/>
      <c r="B40" s="8"/>
      <c r="C40" s="46"/>
      <c r="D40" s="46"/>
      <c r="E40" s="46"/>
      <c r="F40" s="75" t="s">
        <v>13</v>
      </c>
      <c r="G40" s="27">
        <f>ROUNDUP(G39,0)</f>
        <v>93</v>
      </c>
      <c r="H40" s="28" t="s">
        <v>9</v>
      </c>
      <c r="I40" s="9"/>
      <c r="J40" s="9"/>
    </row>
    <row r="41" spans="1:10" s="31" customFormat="1">
      <c r="A41" s="18"/>
      <c r="B41" s="8"/>
      <c r="C41" s="46"/>
      <c r="D41" s="46"/>
      <c r="E41" s="46"/>
      <c r="F41" s="46"/>
      <c r="G41" s="33"/>
      <c r="H41" s="24"/>
      <c r="I41" s="9"/>
      <c r="J41" s="9"/>
    </row>
    <row r="42" spans="1:10" s="31" customFormat="1">
      <c r="A42" s="18">
        <v>7</v>
      </c>
      <c r="B42" s="9" t="s">
        <v>38</v>
      </c>
      <c r="I42" s="9"/>
      <c r="J42" s="9"/>
    </row>
    <row r="43" spans="1:10" s="31" customFormat="1">
      <c r="A43" s="18"/>
      <c r="B43" s="46"/>
      <c r="C43" s="1">
        <v>7</v>
      </c>
      <c r="D43" s="5">
        <v>1.8</v>
      </c>
      <c r="E43" s="5">
        <v>0.23</v>
      </c>
      <c r="F43" s="5">
        <v>7.4999999999999997E-2</v>
      </c>
      <c r="G43" s="4">
        <f>C43*D43*E43*F43</f>
        <v>0.21735000000000002</v>
      </c>
      <c r="H43" s="1" t="s">
        <v>12</v>
      </c>
      <c r="I43" s="9"/>
      <c r="J43" s="9"/>
    </row>
    <row r="44" spans="1:10" s="31" customFormat="1">
      <c r="A44" s="13"/>
      <c r="B44" s="9"/>
      <c r="C44" s="46"/>
      <c r="D44" s="46"/>
      <c r="E44" s="46"/>
      <c r="F44" s="75" t="s">
        <v>13</v>
      </c>
      <c r="G44" s="27">
        <f>ROUNDUP(G43,0)</f>
        <v>1</v>
      </c>
      <c r="H44" s="28" t="s">
        <v>9</v>
      </c>
      <c r="I44" s="9"/>
      <c r="J44" s="9"/>
    </row>
    <row r="45" spans="1:10" s="31" customFormat="1">
      <c r="A45" s="13"/>
      <c r="B45" s="9"/>
      <c r="C45" s="46"/>
      <c r="D45" s="46"/>
      <c r="E45" s="46"/>
      <c r="F45" s="46"/>
      <c r="G45" s="33"/>
      <c r="H45" s="24"/>
      <c r="I45" s="9"/>
      <c r="J45" s="9"/>
    </row>
    <row r="46" spans="1:10" s="31" customFormat="1">
      <c r="A46" s="18"/>
      <c r="B46" s="51" t="s">
        <v>135</v>
      </c>
      <c r="C46" s="1"/>
      <c r="D46" s="5"/>
      <c r="E46" s="5"/>
      <c r="F46" s="5"/>
      <c r="G46" s="4"/>
      <c r="H46" s="1"/>
      <c r="I46" s="9"/>
      <c r="J46" s="9"/>
    </row>
    <row r="47" spans="1:10" s="31" customFormat="1">
      <c r="A47" s="29">
        <v>8</v>
      </c>
      <c r="B47" s="9" t="s">
        <v>67</v>
      </c>
      <c r="C47" s="1">
        <v>9</v>
      </c>
      <c r="D47" s="5">
        <v>1.5</v>
      </c>
      <c r="E47" s="5">
        <v>1.5</v>
      </c>
      <c r="F47" s="5">
        <v>0.45</v>
      </c>
      <c r="G47" s="4">
        <f>C47*D47*E47*F47</f>
        <v>9.1125000000000007</v>
      </c>
      <c r="H47" s="1" t="s">
        <v>12</v>
      </c>
      <c r="I47" s="9"/>
      <c r="J47" s="9"/>
    </row>
    <row r="48" spans="1:10" s="31" customFormat="1">
      <c r="A48" s="46"/>
      <c r="B48" s="46"/>
      <c r="C48" s="1">
        <v>4</v>
      </c>
      <c r="D48" s="5">
        <v>1.8</v>
      </c>
      <c r="E48" s="5">
        <v>1.8</v>
      </c>
      <c r="F48" s="5">
        <v>0.45</v>
      </c>
      <c r="G48" s="4">
        <f>C48*D48*E48*F48</f>
        <v>5.8320000000000007</v>
      </c>
      <c r="H48" s="1" t="s">
        <v>10</v>
      </c>
      <c r="I48" s="9"/>
      <c r="J48" s="9"/>
    </row>
    <row r="49" spans="1:9" s="31" customFormat="1">
      <c r="A49" s="46"/>
      <c r="B49" s="46"/>
      <c r="C49" s="1"/>
      <c r="D49" s="5"/>
      <c r="E49" s="5"/>
      <c r="F49" s="5"/>
      <c r="G49" s="4"/>
      <c r="H49" s="1"/>
      <c r="I49" s="9"/>
    </row>
    <row r="50" spans="1:9" s="31" customFormat="1">
      <c r="A50" s="46"/>
      <c r="B50" s="8"/>
      <c r="C50" s="32"/>
      <c r="D50" s="5"/>
      <c r="E50" s="5"/>
      <c r="F50" s="100" t="s">
        <v>11</v>
      </c>
      <c r="G50" s="53">
        <f>SUM(G47:G48)</f>
        <v>14.944500000000001</v>
      </c>
      <c r="H50" s="50" t="s">
        <v>12</v>
      </c>
      <c r="I50" s="9"/>
    </row>
    <row r="51" spans="1:9" s="31" customFormat="1">
      <c r="A51" s="46"/>
      <c r="B51" s="9"/>
      <c r="C51" s="46"/>
      <c r="D51" s="46"/>
      <c r="E51" s="46"/>
      <c r="F51" s="75" t="s">
        <v>13</v>
      </c>
      <c r="G51" s="27">
        <f>ROUNDUP(G50,0)</f>
        <v>15</v>
      </c>
      <c r="H51" s="28" t="s">
        <v>9</v>
      </c>
      <c r="I51" s="9"/>
    </row>
    <row r="52" spans="1:9" s="31" customFormat="1">
      <c r="A52" s="46"/>
      <c r="B52" s="9"/>
      <c r="C52" s="46"/>
      <c r="D52" s="46"/>
      <c r="E52" s="46"/>
      <c r="F52" s="46"/>
      <c r="G52" s="33"/>
      <c r="H52" s="24"/>
      <c r="I52" s="9"/>
    </row>
    <row r="53" spans="1:9" s="31" customFormat="1">
      <c r="A53" s="13"/>
      <c r="B53" s="51" t="s">
        <v>307</v>
      </c>
      <c r="C53" s="46"/>
      <c r="D53" s="46"/>
      <c r="E53" s="46"/>
      <c r="F53" s="46"/>
      <c r="G53" s="33"/>
      <c r="H53" s="24"/>
      <c r="I53" s="9"/>
    </row>
    <row r="54" spans="1:9" s="31" customFormat="1">
      <c r="A54" s="13"/>
      <c r="B54" s="51"/>
      <c r="C54" s="46"/>
      <c r="D54" s="46"/>
      <c r="E54" s="46"/>
      <c r="F54" s="46"/>
      <c r="G54" s="33"/>
      <c r="H54" s="24"/>
      <c r="I54" s="9"/>
    </row>
    <row r="55" spans="1:9" s="31" customFormat="1">
      <c r="A55" s="18">
        <v>9</v>
      </c>
      <c r="B55" s="9" t="s">
        <v>48</v>
      </c>
      <c r="C55" s="1"/>
      <c r="D55" s="5"/>
      <c r="E55" s="1"/>
      <c r="F55" s="5"/>
      <c r="G55" s="4"/>
      <c r="H55" s="1"/>
      <c r="I55" s="9"/>
    </row>
    <row r="56" spans="1:9" s="31" customFormat="1">
      <c r="A56" s="13"/>
      <c r="B56" s="46" t="s">
        <v>68</v>
      </c>
      <c r="C56" s="1">
        <v>9</v>
      </c>
      <c r="D56" s="5">
        <v>0.43</v>
      </c>
      <c r="E56" s="5">
        <v>0.65</v>
      </c>
      <c r="F56" s="5">
        <v>0.6</v>
      </c>
      <c r="G56" s="4">
        <f>C56*D56*E56*F56</f>
        <v>1.5093000000000001</v>
      </c>
      <c r="H56" s="1" t="s">
        <v>12</v>
      </c>
      <c r="I56" s="9"/>
    </row>
    <row r="57" spans="1:9" s="31" customFormat="1">
      <c r="A57" s="13"/>
      <c r="B57" s="46"/>
      <c r="C57" s="1">
        <v>4</v>
      </c>
      <c r="D57" s="5">
        <v>0.5</v>
      </c>
      <c r="E57" s="5">
        <v>0.65</v>
      </c>
      <c r="F57" s="5">
        <v>0.6</v>
      </c>
      <c r="G57" s="4">
        <f>C57*D57*E57*F57</f>
        <v>0.78</v>
      </c>
      <c r="H57" s="1" t="s">
        <v>10</v>
      </c>
      <c r="I57" s="9"/>
    </row>
    <row r="58" spans="1:9" s="31" customFormat="1">
      <c r="A58" s="13"/>
      <c r="B58" s="46" t="s">
        <v>48</v>
      </c>
      <c r="C58" s="1">
        <v>6</v>
      </c>
      <c r="D58" s="5">
        <v>0.23</v>
      </c>
      <c r="E58" s="5">
        <v>0.45</v>
      </c>
      <c r="F58" s="5">
        <f>2+5.7-0.15-0.45-0.45+0.9</f>
        <v>7.55</v>
      </c>
      <c r="G58" s="4">
        <f>C58*D58*E58*F58</f>
        <v>4.6885500000000011</v>
      </c>
      <c r="H58" s="1" t="s">
        <v>10</v>
      </c>
      <c r="I58" s="9"/>
    </row>
    <row r="59" spans="1:9" s="31" customFormat="1">
      <c r="A59" s="13"/>
      <c r="B59" s="46"/>
      <c r="C59" s="1">
        <v>4</v>
      </c>
      <c r="D59" s="5">
        <v>0.3</v>
      </c>
      <c r="E59" s="5">
        <v>0.45</v>
      </c>
      <c r="F59" s="5">
        <f>2+5.7-0.15-0.45-0.45+0.9</f>
        <v>7.55</v>
      </c>
      <c r="G59" s="4">
        <f>C59*D59*E59*F59</f>
        <v>4.077</v>
      </c>
      <c r="H59" s="1" t="s">
        <v>10</v>
      </c>
      <c r="I59" s="9"/>
    </row>
    <row r="60" spans="1:9" s="31" customFormat="1">
      <c r="A60" s="13"/>
      <c r="B60" s="46"/>
      <c r="C60" s="1">
        <v>3</v>
      </c>
      <c r="D60" s="5">
        <v>0.23</v>
      </c>
      <c r="E60" s="5">
        <v>0.45</v>
      </c>
      <c r="F60" s="5">
        <f>2+4.2-0.15-0.45-0.45+0.9</f>
        <v>6.05</v>
      </c>
      <c r="G60" s="4">
        <f>C60*D60*E60*F60</f>
        <v>1.8785250000000002</v>
      </c>
      <c r="H60" s="1" t="s">
        <v>10</v>
      </c>
      <c r="I60" s="9"/>
    </row>
    <row r="61" spans="1:9" s="31" customFormat="1">
      <c r="A61" s="13"/>
      <c r="B61" s="9"/>
      <c r="C61" s="1"/>
      <c r="D61" s="5"/>
      <c r="E61" s="1"/>
      <c r="F61" s="1"/>
      <c r="G61" s="4"/>
      <c r="H61" s="57"/>
      <c r="I61" s="9"/>
    </row>
    <row r="62" spans="1:9" s="31" customFormat="1">
      <c r="A62" s="13"/>
      <c r="B62" s="9"/>
      <c r="C62" s="46"/>
      <c r="D62" s="46"/>
      <c r="E62" s="46"/>
      <c r="F62" s="100" t="s">
        <v>11</v>
      </c>
      <c r="G62" s="53">
        <f>SUM(G56:G61)</f>
        <v>12.933375000000002</v>
      </c>
      <c r="H62" s="50" t="s">
        <v>12</v>
      </c>
      <c r="I62" s="9"/>
    </row>
    <row r="63" spans="1:9" s="31" customFormat="1">
      <c r="A63" s="13"/>
      <c r="B63" s="6"/>
      <c r="C63" s="46"/>
      <c r="D63" s="46"/>
      <c r="E63" s="46"/>
      <c r="F63" s="75" t="s">
        <v>13</v>
      </c>
      <c r="G63" s="27">
        <f>ROUNDUP(G62,0)</f>
        <v>13</v>
      </c>
      <c r="H63" s="28" t="s">
        <v>9</v>
      </c>
      <c r="I63" s="9"/>
    </row>
    <row r="64" spans="1:9" s="31" customFormat="1">
      <c r="A64" s="13"/>
      <c r="B64" s="51"/>
      <c r="C64" s="46"/>
      <c r="D64" s="46"/>
      <c r="E64" s="46"/>
      <c r="F64" s="46"/>
      <c r="G64" s="33"/>
      <c r="H64" s="24"/>
      <c r="I64" s="9"/>
    </row>
    <row r="65" spans="1:10" s="31" customFormat="1">
      <c r="A65" s="13"/>
      <c r="B65" s="51"/>
      <c r="C65" s="46"/>
      <c r="D65" s="46"/>
      <c r="E65" s="46"/>
      <c r="F65" s="46"/>
      <c r="G65" s="33"/>
      <c r="H65" s="24"/>
      <c r="I65" s="9"/>
      <c r="J65" s="9"/>
    </row>
    <row r="66" spans="1:10" s="31" customFormat="1">
      <c r="A66" s="18">
        <v>10</v>
      </c>
      <c r="B66" s="9" t="s">
        <v>39</v>
      </c>
      <c r="C66" s="1"/>
      <c r="D66" s="5"/>
      <c r="E66" s="1"/>
      <c r="F66" s="5"/>
      <c r="G66" s="4"/>
      <c r="H66" s="1"/>
      <c r="I66" s="9"/>
      <c r="J66" s="9"/>
    </row>
    <row r="67" spans="1:10" s="31" customFormat="1">
      <c r="A67" s="13"/>
      <c r="B67" s="46"/>
      <c r="C67" s="1">
        <v>3</v>
      </c>
      <c r="D67" s="5">
        <v>12</v>
      </c>
      <c r="E67" s="5">
        <v>0.23</v>
      </c>
      <c r="F67" s="5">
        <v>0.45</v>
      </c>
      <c r="G67" s="4">
        <f>C67*D67*E67*F67</f>
        <v>3.7260000000000004</v>
      </c>
      <c r="H67" s="1" t="s">
        <v>12</v>
      </c>
      <c r="I67" s="9"/>
      <c r="J67" s="9"/>
    </row>
    <row r="68" spans="1:10" s="31" customFormat="1">
      <c r="A68" s="13"/>
      <c r="B68" s="46"/>
      <c r="C68" s="1">
        <v>2</v>
      </c>
      <c r="D68" s="5">
        <v>18</v>
      </c>
      <c r="E68" s="5">
        <v>0.23</v>
      </c>
      <c r="F68" s="5">
        <v>0.45</v>
      </c>
      <c r="G68" s="4">
        <f>C68*D68*E68*F68</f>
        <v>3.7260000000000004</v>
      </c>
      <c r="H68" s="1" t="s">
        <v>10</v>
      </c>
      <c r="I68" s="9"/>
      <c r="J68" s="9"/>
    </row>
    <row r="69" spans="1:10" s="31" customFormat="1">
      <c r="A69" s="13"/>
      <c r="B69" s="9"/>
      <c r="C69" s="1"/>
      <c r="D69" s="5"/>
      <c r="E69" s="1"/>
      <c r="F69" s="1"/>
      <c r="G69" s="4"/>
      <c r="H69" s="57"/>
      <c r="I69" s="9"/>
      <c r="J69" s="9"/>
    </row>
    <row r="70" spans="1:10" s="31" customFormat="1">
      <c r="A70" s="13"/>
      <c r="B70" s="9"/>
      <c r="C70" s="46"/>
      <c r="D70" s="46"/>
      <c r="E70" s="46"/>
      <c r="F70" s="100" t="s">
        <v>11</v>
      </c>
      <c r="G70" s="53">
        <f>SUM(G67:G69)</f>
        <v>7.4520000000000008</v>
      </c>
      <c r="H70" s="50" t="s">
        <v>12</v>
      </c>
      <c r="J70" s="4"/>
    </row>
    <row r="71" spans="1:10" s="31" customFormat="1">
      <c r="A71" s="13"/>
      <c r="B71" s="6"/>
      <c r="C71" s="46"/>
      <c r="D71" s="46"/>
      <c r="E71" s="46"/>
      <c r="F71" s="75" t="s">
        <v>13</v>
      </c>
      <c r="G71" s="27">
        <f>ROUNDUP(G70,0)</f>
        <v>8</v>
      </c>
      <c r="H71" s="28" t="s">
        <v>9</v>
      </c>
      <c r="I71" s="9"/>
      <c r="J71" s="4"/>
    </row>
    <row r="72" spans="1:10" s="31" customFormat="1">
      <c r="A72" s="13"/>
      <c r="B72" s="6"/>
      <c r="C72" s="46"/>
      <c r="D72" s="46"/>
      <c r="E72" s="46"/>
      <c r="F72" s="46"/>
      <c r="G72" s="33"/>
      <c r="H72" s="24"/>
      <c r="I72" s="9"/>
      <c r="J72" s="4"/>
    </row>
    <row r="73" spans="1:10" s="31" customFormat="1">
      <c r="A73" s="18">
        <v>11</v>
      </c>
      <c r="B73" s="9" t="s">
        <v>58</v>
      </c>
      <c r="C73" s="1"/>
      <c r="D73" s="5"/>
      <c r="E73" s="1"/>
      <c r="F73" s="5"/>
      <c r="G73" s="4"/>
      <c r="H73" s="1"/>
      <c r="I73" s="9"/>
      <c r="J73" s="4"/>
    </row>
    <row r="74" spans="1:10" s="31" customFormat="1">
      <c r="A74" s="13"/>
      <c r="B74" s="46"/>
      <c r="C74" s="1">
        <v>6</v>
      </c>
      <c r="D74" s="5">
        <v>12</v>
      </c>
      <c r="E74" s="5">
        <v>0.23</v>
      </c>
      <c r="F74" s="5">
        <v>0.45</v>
      </c>
      <c r="G74" s="4">
        <f>C74*D74*E74*F74</f>
        <v>7.4520000000000008</v>
      </c>
      <c r="H74" s="1" t="s">
        <v>12</v>
      </c>
      <c r="I74" s="9"/>
      <c r="J74" s="4"/>
    </row>
    <row r="75" spans="1:10" s="31" customFormat="1">
      <c r="A75" s="13"/>
      <c r="B75" s="46"/>
      <c r="C75" s="1">
        <v>4</v>
      </c>
      <c r="D75" s="5">
        <v>18</v>
      </c>
      <c r="E75" s="5">
        <v>0.23</v>
      </c>
      <c r="F75" s="5">
        <v>0.45</v>
      </c>
      <c r="G75" s="4">
        <f>C75*D75*E75*F75</f>
        <v>7.4520000000000008</v>
      </c>
      <c r="H75" s="1" t="s">
        <v>10</v>
      </c>
      <c r="I75" s="9"/>
      <c r="J75" s="4"/>
    </row>
    <row r="76" spans="1:10" s="31" customFormat="1">
      <c r="A76" s="13"/>
      <c r="B76" s="9"/>
      <c r="C76" s="1"/>
      <c r="D76" s="5"/>
      <c r="E76" s="1"/>
      <c r="F76" s="1"/>
      <c r="G76" s="4"/>
      <c r="H76" s="57"/>
      <c r="I76" s="9"/>
      <c r="J76" s="4"/>
    </row>
    <row r="77" spans="1:10" s="31" customFormat="1">
      <c r="A77" s="13"/>
      <c r="B77" s="9"/>
      <c r="C77" s="46"/>
      <c r="D77" s="46"/>
      <c r="E77" s="46"/>
      <c r="F77" s="100" t="s">
        <v>11</v>
      </c>
      <c r="G77" s="53">
        <f>SUM(G74:G76)</f>
        <v>14.904000000000002</v>
      </c>
      <c r="H77" s="50" t="s">
        <v>12</v>
      </c>
      <c r="I77" s="9"/>
      <c r="J77" s="4"/>
    </row>
    <row r="78" spans="1:10" s="31" customFormat="1">
      <c r="A78" s="13"/>
      <c r="B78" s="6"/>
      <c r="C78" s="46"/>
      <c r="D78" s="46"/>
      <c r="E78" s="46"/>
      <c r="F78" s="75" t="s">
        <v>13</v>
      </c>
      <c r="G78" s="27">
        <f>ROUNDUP(G77,0)</f>
        <v>15</v>
      </c>
      <c r="H78" s="28" t="s">
        <v>9</v>
      </c>
      <c r="I78" s="9"/>
      <c r="J78" s="4"/>
    </row>
    <row r="79" spans="1:10" s="31" customFormat="1">
      <c r="A79" s="13"/>
      <c r="B79" s="6"/>
      <c r="C79" s="46"/>
      <c r="D79" s="46"/>
      <c r="E79" s="46"/>
      <c r="F79" s="46"/>
      <c r="G79" s="33"/>
      <c r="H79" s="24"/>
      <c r="I79" s="9"/>
      <c r="J79" s="4"/>
    </row>
    <row r="80" spans="1:10" s="31" customFormat="1">
      <c r="A80" s="13"/>
      <c r="B80" s="6"/>
      <c r="C80" s="46"/>
      <c r="D80" s="46"/>
      <c r="E80" s="46"/>
      <c r="F80" s="46"/>
      <c r="G80" s="33"/>
      <c r="H80" s="24"/>
      <c r="I80" s="9"/>
      <c r="J80" s="4"/>
    </row>
    <row r="81" spans="1:10" s="31" customFormat="1">
      <c r="A81" s="18">
        <v>12</v>
      </c>
      <c r="B81" s="9" t="s">
        <v>129</v>
      </c>
      <c r="C81" s="1"/>
      <c r="D81" s="5"/>
      <c r="E81" s="1"/>
      <c r="F81" s="5"/>
      <c r="G81" s="4"/>
      <c r="H81" s="1"/>
      <c r="I81" s="9"/>
      <c r="J81" s="4"/>
    </row>
    <row r="82" spans="1:10" s="31" customFormat="1">
      <c r="A82" s="13"/>
      <c r="B82" s="46"/>
      <c r="C82" s="1">
        <v>7</v>
      </c>
      <c r="D82" s="5">
        <v>2</v>
      </c>
      <c r="E82" s="5">
        <v>0.6</v>
      </c>
      <c r="F82" s="5">
        <v>0.1</v>
      </c>
      <c r="G82" s="4">
        <f>C82*D82*E82*F82</f>
        <v>0.84000000000000008</v>
      </c>
      <c r="H82" s="1" t="s">
        <v>12</v>
      </c>
      <c r="I82" s="9"/>
      <c r="J82" s="4"/>
    </row>
    <row r="83" spans="1:10" s="31" customFormat="1">
      <c r="A83" s="13"/>
      <c r="B83" s="46"/>
      <c r="C83" s="1">
        <v>2</v>
      </c>
      <c r="D83" s="5">
        <v>3.3</v>
      </c>
      <c r="E83" s="5">
        <v>1.35</v>
      </c>
      <c r="F83" s="5">
        <v>0.125</v>
      </c>
      <c r="G83" s="4">
        <f>C83*D83*E83*F83</f>
        <v>1.11375</v>
      </c>
      <c r="H83" s="1" t="s">
        <v>10</v>
      </c>
      <c r="I83" s="9"/>
      <c r="J83" s="4"/>
    </row>
    <row r="84" spans="1:10" s="31" customFormat="1">
      <c r="A84" s="13"/>
      <c r="B84" s="46"/>
      <c r="C84" s="1">
        <v>1</v>
      </c>
      <c r="D84" s="5">
        <v>3.3</v>
      </c>
      <c r="E84" s="5">
        <v>1.35</v>
      </c>
      <c r="F84" s="5">
        <v>0.125</v>
      </c>
      <c r="G84" s="4">
        <f>C84*D84*E84*F84</f>
        <v>0.55687500000000001</v>
      </c>
      <c r="H84" s="1" t="s">
        <v>10</v>
      </c>
      <c r="I84" s="9"/>
      <c r="J84" s="4"/>
    </row>
    <row r="85" spans="1:10" s="31" customFormat="1">
      <c r="A85" s="13"/>
      <c r="B85" s="9"/>
      <c r="C85" s="1"/>
      <c r="D85" s="5"/>
      <c r="E85" s="1"/>
      <c r="F85" s="1"/>
      <c r="G85" s="4"/>
      <c r="H85" s="57"/>
      <c r="I85" s="9"/>
      <c r="J85" s="4"/>
    </row>
    <row r="86" spans="1:10" s="31" customFormat="1">
      <c r="A86" s="13"/>
      <c r="B86" s="9"/>
      <c r="C86" s="46"/>
      <c r="D86" s="46"/>
      <c r="E86" s="46"/>
      <c r="F86" s="100" t="s">
        <v>11</v>
      </c>
      <c r="G86" s="53">
        <f>SUM(G82:G85)</f>
        <v>2.5106250000000001</v>
      </c>
      <c r="H86" s="50" t="s">
        <v>12</v>
      </c>
      <c r="I86" s="9"/>
      <c r="J86" s="4"/>
    </row>
    <row r="87" spans="1:10" s="31" customFormat="1">
      <c r="A87" s="13"/>
      <c r="B87" s="6"/>
      <c r="C87" s="46"/>
      <c r="D87" s="46"/>
      <c r="E87" s="46"/>
      <c r="F87" s="75" t="s">
        <v>13</v>
      </c>
      <c r="G87" s="27">
        <f>ROUNDUP(G86,0)</f>
        <v>3</v>
      </c>
      <c r="H87" s="28" t="s">
        <v>9</v>
      </c>
      <c r="I87" s="9"/>
      <c r="J87" s="4"/>
    </row>
    <row r="88" spans="1:10" s="31" customFormat="1">
      <c r="A88" s="13"/>
      <c r="B88" s="6"/>
      <c r="C88" s="46"/>
      <c r="D88" s="46"/>
      <c r="E88" s="46"/>
      <c r="F88" s="46"/>
      <c r="G88" s="33"/>
      <c r="H88" s="24"/>
      <c r="I88" s="9"/>
      <c r="J88" s="4"/>
    </row>
    <row r="89" spans="1:10" s="31" customFormat="1">
      <c r="A89" s="13"/>
      <c r="B89" s="6"/>
      <c r="C89" s="46"/>
      <c r="D89" s="46"/>
      <c r="E89" s="46"/>
      <c r="F89" s="46"/>
      <c r="G89" s="33"/>
      <c r="H89" s="24"/>
      <c r="I89" s="9"/>
      <c r="J89" s="4"/>
    </row>
    <row r="90" spans="1:10" s="31" customFormat="1">
      <c r="A90" s="13"/>
      <c r="B90" s="9"/>
      <c r="C90" s="46"/>
      <c r="D90" s="46"/>
      <c r="E90" s="46"/>
      <c r="F90" s="46"/>
      <c r="G90" s="33"/>
      <c r="H90" s="24"/>
      <c r="I90" s="9"/>
      <c r="J90" s="4"/>
    </row>
    <row r="91" spans="1:10" s="31" customFormat="1">
      <c r="A91" s="13"/>
      <c r="B91" s="9"/>
      <c r="C91" s="46"/>
      <c r="D91" s="46"/>
      <c r="E91" s="46"/>
      <c r="F91" s="46"/>
      <c r="G91" s="33"/>
      <c r="H91" s="24"/>
      <c r="I91" s="9"/>
      <c r="J91" s="4"/>
    </row>
    <row r="92" spans="1:10" s="31" customFormat="1">
      <c r="A92" s="18"/>
      <c r="B92" s="44" t="s">
        <v>123</v>
      </c>
      <c r="C92" s="46"/>
      <c r="D92" s="46"/>
      <c r="E92" s="46"/>
      <c r="F92" s="46"/>
      <c r="G92" s="33"/>
      <c r="H92" s="24"/>
      <c r="I92" s="9"/>
      <c r="J92" s="4"/>
    </row>
    <row r="93" spans="1:10" s="31" customFormat="1">
      <c r="A93" s="18">
        <v>13</v>
      </c>
      <c r="B93" s="9" t="s">
        <v>71</v>
      </c>
      <c r="C93" s="46"/>
      <c r="D93" s="46"/>
      <c r="E93" s="46"/>
      <c r="F93" s="5"/>
      <c r="G93" s="33"/>
      <c r="H93" s="24"/>
      <c r="I93" s="9"/>
      <c r="J93" s="4"/>
    </row>
    <row r="94" spans="1:10" s="31" customFormat="1">
      <c r="A94" s="13"/>
      <c r="B94" s="46"/>
      <c r="C94" s="1">
        <v>9</v>
      </c>
      <c r="D94" s="5">
        <f>4*1.5</f>
        <v>6</v>
      </c>
      <c r="E94" s="5"/>
      <c r="F94" s="5">
        <v>0.45</v>
      </c>
      <c r="G94" s="4">
        <f>C94*D94*F94</f>
        <v>24.3</v>
      </c>
      <c r="H94" s="1" t="s">
        <v>17</v>
      </c>
      <c r="I94" s="9"/>
      <c r="J94" s="4"/>
    </row>
    <row r="95" spans="1:10" s="31" customFormat="1">
      <c r="A95" s="13"/>
      <c r="B95" s="46"/>
      <c r="C95" s="1">
        <v>4</v>
      </c>
      <c r="D95" s="5">
        <f>4*1.8</f>
        <v>7.2</v>
      </c>
      <c r="E95" s="5"/>
      <c r="F95" s="5">
        <v>0.45</v>
      </c>
      <c r="G95" s="4">
        <f>C95*D95*F95</f>
        <v>12.96</v>
      </c>
      <c r="H95" s="1" t="s">
        <v>10</v>
      </c>
      <c r="I95" s="9"/>
      <c r="J95" s="4"/>
    </row>
    <row r="96" spans="1:10" s="31" customFormat="1">
      <c r="A96" s="13"/>
      <c r="B96" s="9"/>
      <c r="C96" s="1"/>
      <c r="D96" s="5"/>
      <c r="E96" s="1"/>
      <c r="F96" s="1"/>
      <c r="G96" s="4"/>
      <c r="H96" s="57"/>
      <c r="I96" s="9"/>
      <c r="J96" s="4"/>
    </row>
    <row r="97" spans="1:10" s="31" customFormat="1">
      <c r="A97" s="13"/>
      <c r="B97" s="9"/>
      <c r="C97" s="46"/>
      <c r="D97" s="46"/>
      <c r="E97" s="46"/>
      <c r="F97" s="100" t="s">
        <v>11</v>
      </c>
      <c r="G97" s="53">
        <f>SUM(G94:G96)</f>
        <v>37.260000000000005</v>
      </c>
      <c r="H97" s="50" t="s">
        <v>17</v>
      </c>
      <c r="I97" s="9"/>
      <c r="J97" s="4"/>
    </row>
    <row r="98" spans="1:10" s="31" customFormat="1">
      <c r="A98" s="13"/>
      <c r="B98" s="9"/>
      <c r="C98" s="46"/>
      <c r="D98" s="46"/>
      <c r="E98" s="46"/>
      <c r="F98" s="75" t="s">
        <v>13</v>
      </c>
      <c r="G98" s="27">
        <f>ROUNDUP(G97,0)</f>
        <v>38</v>
      </c>
      <c r="H98" s="28" t="s">
        <v>17</v>
      </c>
      <c r="I98" s="9"/>
      <c r="J98" s="4"/>
    </row>
    <row r="99" spans="1:10" s="31" customFormat="1">
      <c r="A99" s="18"/>
      <c r="B99" s="8"/>
      <c r="C99" s="46"/>
      <c r="D99" s="46"/>
      <c r="E99" s="46"/>
      <c r="F99" s="46"/>
      <c r="G99" s="33"/>
      <c r="H99" s="24"/>
      <c r="I99" s="9"/>
      <c r="J99" s="4"/>
    </row>
    <row r="100" spans="1:10" s="31" customFormat="1">
      <c r="A100" s="18">
        <v>14</v>
      </c>
      <c r="B100" s="9" t="s">
        <v>48</v>
      </c>
      <c r="C100" s="46"/>
      <c r="D100" s="46"/>
      <c r="E100" s="46"/>
      <c r="F100" s="5"/>
      <c r="G100" s="33"/>
      <c r="H100" s="24"/>
      <c r="I100" s="9"/>
      <c r="J100" s="4"/>
    </row>
    <row r="101" spans="1:10" s="31" customFormat="1">
      <c r="A101" s="13"/>
      <c r="B101" s="46" t="s">
        <v>412</v>
      </c>
      <c r="C101" s="1">
        <v>9</v>
      </c>
      <c r="D101" s="5">
        <f>0.43+0.65+0.43+0.65</f>
        <v>2.16</v>
      </c>
      <c r="E101" s="5"/>
      <c r="F101" s="5">
        <v>0.6</v>
      </c>
      <c r="G101" s="4">
        <f>C101*D101*F101</f>
        <v>11.664</v>
      </c>
      <c r="H101" s="1" t="s">
        <v>17</v>
      </c>
      <c r="I101" s="9"/>
      <c r="J101" s="4"/>
    </row>
    <row r="102" spans="1:10" s="31" customFormat="1">
      <c r="A102" s="13"/>
      <c r="B102" s="46"/>
      <c r="C102" s="1">
        <v>4</v>
      </c>
      <c r="D102" s="5">
        <f>0.5+0.65+0.65+0.5</f>
        <v>2.2999999999999998</v>
      </c>
      <c r="E102" s="5"/>
      <c r="F102" s="5">
        <v>0.6</v>
      </c>
      <c r="G102" s="4">
        <f>C102*D102*F102</f>
        <v>5.52</v>
      </c>
      <c r="H102" s="1" t="s">
        <v>10</v>
      </c>
      <c r="I102" s="9"/>
      <c r="J102" s="4"/>
    </row>
    <row r="103" spans="1:10" s="31" customFormat="1">
      <c r="A103" s="13"/>
      <c r="B103" s="46" t="s">
        <v>48</v>
      </c>
      <c r="C103" s="1">
        <v>6</v>
      </c>
      <c r="D103" s="5">
        <f>0.43+0.65+0.43+0.65</f>
        <v>2.16</v>
      </c>
      <c r="E103" s="5"/>
      <c r="F103" s="5">
        <f>2+5.7-0.15-0.45-0.45+0.9</f>
        <v>7.55</v>
      </c>
      <c r="G103" s="4">
        <f>C103*D103*F103</f>
        <v>97.847999999999999</v>
      </c>
      <c r="H103" s="1" t="s">
        <v>10</v>
      </c>
      <c r="I103" s="9"/>
      <c r="J103" s="4"/>
    </row>
    <row r="104" spans="1:10" s="31" customFormat="1">
      <c r="A104" s="13"/>
      <c r="B104" s="46"/>
      <c r="C104" s="1">
        <v>4</v>
      </c>
      <c r="D104" s="5">
        <f>0.5+0.65+0.65+0.5</f>
        <v>2.2999999999999998</v>
      </c>
      <c r="E104" s="5"/>
      <c r="F104" s="5">
        <f>2+5.7-0.15-0.45-0.45+0.9</f>
        <v>7.55</v>
      </c>
      <c r="G104" s="4">
        <f>C104*D104*F104</f>
        <v>69.459999999999994</v>
      </c>
      <c r="H104" s="1" t="s">
        <v>10</v>
      </c>
      <c r="I104" s="9"/>
      <c r="J104" s="4"/>
    </row>
    <row r="105" spans="1:10" s="31" customFormat="1">
      <c r="A105" s="13"/>
      <c r="B105" s="46"/>
      <c r="C105" s="1">
        <v>3</v>
      </c>
      <c r="D105" s="5">
        <f>0.43+0.65+0.43+0.65</f>
        <v>2.16</v>
      </c>
      <c r="E105" s="5"/>
      <c r="F105" s="5">
        <f>2+4.2-0.15-0.45-0.45+0.9</f>
        <v>6.05</v>
      </c>
      <c r="G105" s="4">
        <f>C105*D105*F105</f>
        <v>39.204000000000001</v>
      </c>
      <c r="H105" s="1" t="s">
        <v>10</v>
      </c>
      <c r="I105" s="9"/>
      <c r="J105" s="4"/>
    </row>
    <row r="106" spans="1:10" s="31" customFormat="1">
      <c r="A106" s="13"/>
      <c r="B106" s="9"/>
      <c r="C106" s="1"/>
      <c r="D106" s="5"/>
      <c r="E106" s="1"/>
      <c r="F106" s="1"/>
      <c r="G106" s="4"/>
      <c r="H106" s="57"/>
      <c r="I106" s="9"/>
      <c r="J106" s="4"/>
    </row>
    <row r="107" spans="1:10" s="31" customFormat="1">
      <c r="A107" s="13"/>
      <c r="B107" s="9"/>
      <c r="C107" s="46"/>
      <c r="D107" s="46"/>
      <c r="E107" s="46"/>
      <c r="F107" s="100" t="s">
        <v>11</v>
      </c>
      <c r="G107" s="53">
        <f>SUM(G101:G106)</f>
        <v>223.696</v>
      </c>
      <c r="H107" s="50" t="s">
        <v>17</v>
      </c>
      <c r="I107" s="9"/>
      <c r="J107" s="4"/>
    </row>
    <row r="108" spans="1:10" s="31" customFormat="1">
      <c r="A108" s="13"/>
      <c r="B108" s="9"/>
      <c r="C108" s="46"/>
      <c r="D108" s="46"/>
      <c r="E108" s="46"/>
      <c r="F108" s="75" t="s">
        <v>13</v>
      </c>
      <c r="G108" s="27">
        <f>ROUNDUP(G107,0)</f>
        <v>224</v>
      </c>
      <c r="H108" s="28" t="s">
        <v>17</v>
      </c>
      <c r="I108" s="9"/>
      <c r="J108" s="4"/>
    </row>
    <row r="109" spans="1:10" s="31" customFormat="1">
      <c r="A109" s="13"/>
      <c r="B109" s="9"/>
      <c r="C109" s="46"/>
      <c r="D109" s="46"/>
      <c r="E109" s="46"/>
      <c r="F109" s="46"/>
      <c r="G109" s="33"/>
      <c r="H109" s="24"/>
      <c r="I109" s="9"/>
      <c r="J109" s="4"/>
    </row>
    <row r="110" spans="1:10" s="31" customFormat="1">
      <c r="A110" s="13"/>
      <c r="B110" s="9"/>
      <c r="C110" s="46"/>
      <c r="D110" s="46"/>
      <c r="E110" s="46"/>
      <c r="F110" s="46"/>
      <c r="G110" s="33"/>
      <c r="H110" s="24"/>
      <c r="I110" s="9"/>
      <c r="J110" s="4"/>
    </row>
    <row r="111" spans="1:10" s="31" customFormat="1">
      <c r="A111" s="18">
        <v>15</v>
      </c>
      <c r="B111" s="8" t="s">
        <v>39</v>
      </c>
      <c r="C111" s="46"/>
      <c r="D111" s="46"/>
      <c r="E111" s="46"/>
      <c r="F111" s="5"/>
      <c r="G111" s="33"/>
      <c r="H111" s="24"/>
      <c r="I111" s="9"/>
      <c r="J111" s="4"/>
    </row>
    <row r="112" spans="1:10" s="31" customFormat="1">
      <c r="A112" s="13"/>
      <c r="B112" s="46"/>
      <c r="C112" s="1">
        <v>3</v>
      </c>
      <c r="D112" s="5">
        <v>12</v>
      </c>
      <c r="E112" s="5"/>
      <c r="F112" s="5">
        <f>0.23+0.45+0.45</f>
        <v>1.1300000000000001</v>
      </c>
      <c r="G112" s="4">
        <f>C112*D112*F112</f>
        <v>40.680000000000007</v>
      </c>
      <c r="H112" s="1" t="s">
        <v>17</v>
      </c>
      <c r="I112" s="9"/>
      <c r="J112" s="4"/>
    </row>
    <row r="113" spans="1:14">
      <c r="A113" s="13"/>
      <c r="B113" s="46"/>
      <c r="C113" s="1">
        <v>2</v>
      </c>
      <c r="D113" s="5">
        <v>18</v>
      </c>
      <c r="E113" s="5"/>
      <c r="F113" s="5">
        <f>0.23+0.45+0.45</f>
        <v>1.1300000000000001</v>
      </c>
      <c r="G113" s="4">
        <f>C113*D113*F113</f>
        <v>40.680000000000007</v>
      </c>
      <c r="H113" s="1" t="s">
        <v>10</v>
      </c>
      <c r="I113" s="9"/>
      <c r="J113" s="4"/>
    </row>
    <row r="114" spans="1:14">
      <c r="A114" s="13"/>
      <c r="B114" s="9"/>
      <c r="C114" s="1"/>
      <c r="D114" s="5"/>
      <c r="E114" s="1"/>
      <c r="F114" s="1"/>
      <c r="G114" s="4"/>
      <c r="H114" s="57"/>
      <c r="I114" s="9"/>
      <c r="J114" s="4"/>
    </row>
    <row r="115" spans="1:14">
      <c r="A115" s="13"/>
      <c r="B115" s="9"/>
      <c r="C115" s="46"/>
      <c r="D115" s="46"/>
      <c r="E115" s="46"/>
      <c r="F115" s="100" t="s">
        <v>11</v>
      </c>
      <c r="G115" s="53">
        <f>SUM(G112:G114)</f>
        <v>81.360000000000014</v>
      </c>
      <c r="H115" s="50" t="s">
        <v>17</v>
      </c>
      <c r="I115" s="9"/>
      <c r="J115" s="4"/>
    </row>
    <row r="116" spans="1:14">
      <c r="A116" s="13"/>
      <c r="B116" s="9"/>
      <c r="C116" s="46"/>
      <c r="D116" s="46"/>
      <c r="E116" s="46"/>
      <c r="F116" s="75" t="s">
        <v>13</v>
      </c>
      <c r="G116" s="27">
        <f>ROUNDUP(G115,0)</f>
        <v>82</v>
      </c>
      <c r="H116" s="28" t="s">
        <v>17</v>
      </c>
      <c r="I116" s="9"/>
      <c r="J116" s="4"/>
    </row>
    <row r="117" spans="1:14">
      <c r="A117" s="13"/>
      <c r="B117" s="9"/>
      <c r="C117" s="46"/>
      <c r="D117" s="46"/>
      <c r="E117" s="46"/>
      <c r="F117" s="46"/>
      <c r="G117" s="33"/>
      <c r="H117" s="24"/>
      <c r="I117" s="9"/>
      <c r="J117" s="46"/>
      <c r="K117" s="1"/>
      <c r="L117" s="5"/>
      <c r="M117" s="1"/>
      <c r="N117" s="5"/>
    </row>
    <row r="118" spans="1:14">
      <c r="A118" s="18">
        <v>16</v>
      </c>
      <c r="B118" s="8" t="s">
        <v>58</v>
      </c>
      <c r="C118" s="46"/>
      <c r="D118" s="46"/>
      <c r="E118" s="46"/>
      <c r="F118" s="5"/>
      <c r="G118" s="33"/>
      <c r="H118" s="1"/>
      <c r="I118" s="9"/>
      <c r="J118" s="4"/>
    </row>
    <row r="119" spans="1:14">
      <c r="A119" s="13"/>
      <c r="B119" s="46"/>
      <c r="C119" s="1">
        <v>6</v>
      </c>
      <c r="D119" s="5">
        <v>12</v>
      </c>
      <c r="E119" s="5"/>
      <c r="F119" s="5">
        <f>0.23+0.45+0.45</f>
        <v>1.1300000000000001</v>
      </c>
      <c r="G119" s="4">
        <f>C119*D119*F119</f>
        <v>81.360000000000014</v>
      </c>
      <c r="H119" s="1" t="s">
        <v>17</v>
      </c>
      <c r="I119" s="9"/>
      <c r="J119" s="4"/>
    </row>
    <row r="120" spans="1:14">
      <c r="A120" s="13"/>
      <c r="B120" s="46"/>
      <c r="C120" s="1">
        <v>4</v>
      </c>
      <c r="D120" s="5">
        <v>18</v>
      </c>
      <c r="E120" s="5"/>
      <c r="F120" s="5">
        <f>0.23+0.45+0.45</f>
        <v>1.1300000000000001</v>
      </c>
      <c r="G120" s="4">
        <f>C120*D120*F120</f>
        <v>81.360000000000014</v>
      </c>
      <c r="H120" s="24" t="s">
        <v>10</v>
      </c>
      <c r="I120" s="9"/>
      <c r="J120" s="4"/>
    </row>
    <row r="121" spans="1:14">
      <c r="A121" s="13"/>
      <c r="B121" s="9"/>
      <c r="C121" s="1"/>
      <c r="D121" s="5"/>
      <c r="E121" s="1"/>
      <c r="F121" s="1"/>
      <c r="G121" s="4"/>
      <c r="H121" s="24"/>
      <c r="I121" s="9"/>
      <c r="J121" s="4"/>
    </row>
    <row r="122" spans="1:14">
      <c r="A122" s="13"/>
      <c r="B122" s="9"/>
      <c r="C122" s="46"/>
      <c r="D122" s="46"/>
      <c r="E122" s="46"/>
      <c r="F122" s="100" t="s">
        <v>11</v>
      </c>
      <c r="G122" s="53">
        <f>SUM(G119:G121)</f>
        <v>162.72000000000003</v>
      </c>
      <c r="H122" s="50" t="s">
        <v>17</v>
      </c>
      <c r="I122" s="9"/>
      <c r="J122" s="4"/>
    </row>
    <row r="123" spans="1:14">
      <c r="A123" s="13"/>
      <c r="B123" s="9"/>
      <c r="C123" s="46"/>
      <c r="D123" s="46"/>
      <c r="E123" s="46"/>
      <c r="F123" s="75" t="s">
        <v>13</v>
      </c>
      <c r="G123" s="27">
        <f>ROUNDUP(G122,0)</f>
        <v>163</v>
      </c>
      <c r="H123" s="28" t="s">
        <v>17</v>
      </c>
      <c r="I123" s="9"/>
      <c r="J123" s="4"/>
    </row>
    <row r="124" spans="1:14">
      <c r="A124" s="13"/>
      <c r="B124" s="9"/>
      <c r="C124" s="46"/>
      <c r="D124" s="46"/>
      <c r="E124" s="46"/>
      <c r="F124" s="46"/>
      <c r="G124" s="33"/>
      <c r="H124" s="24"/>
      <c r="I124" s="9"/>
      <c r="J124" s="4"/>
    </row>
    <row r="125" spans="1:14">
      <c r="A125" s="18">
        <v>17</v>
      </c>
      <c r="B125" s="9" t="s">
        <v>129</v>
      </c>
      <c r="C125" s="1"/>
      <c r="D125" s="5"/>
      <c r="E125" s="1"/>
      <c r="F125" s="5"/>
      <c r="G125" s="4"/>
      <c r="H125" s="1"/>
      <c r="I125" s="9"/>
      <c r="J125" s="4"/>
    </row>
    <row r="126" spans="1:14">
      <c r="A126" s="13"/>
      <c r="B126" s="46"/>
      <c r="C126" s="1">
        <v>7</v>
      </c>
      <c r="D126" s="5">
        <v>2</v>
      </c>
      <c r="E126" s="5">
        <v>0.6</v>
      </c>
      <c r="F126" s="5"/>
      <c r="G126" s="4">
        <f>C126*D126*E126</f>
        <v>8.4</v>
      </c>
      <c r="H126" s="1" t="s">
        <v>17</v>
      </c>
      <c r="I126" s="9"/>
      <c r="J126" s="4"/>
    </row>
    <row r="127" spans="1:14">
      <c r="A127" s="13"/>
      <c r="B127" s="46"/>
      <c r="C127" s="1">
        <v>2</v>
      </c>
      <c r="D127" s="5">
        <v>3.3</v>
      </c>
      <c r="E127" s="5">
        <v>1.35</v>
      </c>
      <c r="F127" s="5"/>
      <c r="G127" s="4">
        <f>C127*D127*E127</f>
        <v>8.91</v>
      </c>
      <c r="H127" s="1" t="s">
        <v>10</v>
      </c>
      <c r="I127" s="9"/>
      <c r="J127" s="4"/>
    </row>
    <row r="128" spans="1:14">
      <c r="A128" s="13"/>
      <c r="B128" s="46"/>
      <c r="C128" s="1">
        <v>1</v>
      </c>
      <c r="D128" s="5">
        <v>3.3</v>
      </c>
      <c r="E128" s="5">
        <v>1.35</v>
      </c>
      <c r="F128" s="5"/>
      <c r="G128" s="4">
        <f>C128*D128*E128</f>
        <v>4.4550000000000001</v>
      </c>
      <c r="H128" s="1" t="s">
        <v>10</v>
      </c>
      <c r="I128" s="9"/>
      <c r="J128" s="4"/>
    </row>
    <row r="129" spans="1:10" s="31" customFormat="1">
      <c r="A129" s="13"/>
      <c r="B129" s="9"/>
      <c r="C129" s="1"/>
      <c r="D129" s="5"/>
      <c r="E129" s="1"/>
      <c r="F129" s="1"/>
      <c r="G129" s="4"/>
      <c r="H129" s="57"/>
      <c r="I129" s="9"/>
      <c r="J129" s="4"/>
    </row>
    <row r="130" spans="1:10" s="31" customFormat="1">
      <c r="A130" s="13"/>
      <c r="B130" s="9"/>
      <c r="C130" s="46"/>
      <c r="D130" s="46"/>
      <c r="E130" s="46"/>
      <c r="F130" s="100" t="s">
        <v>11</v>
      </c>
      <c r="G130" s="53">
        <f>SUM(G126:G129)</f>
        <v>21.765000000000001</v>
      </c>
      <c r="H130" s="50" t="s">
        <v>47</v>
      </c>
      <c r="I130" s="9"/>
      <c r="J130" s="4"/>
    </row>
    <row r="131" spans="1:10" s="31" customFormat="1">
      <c r="A131" s="13"/>
      <c r="B131" s="6"/>
      <c r="C131" s="46"/>
      <c r="D131" s="46"/>
      <c r="E131" s="46"/>
      <c r="F131" s="75" t="s">
        <v>13</v>
      </c>
      <c r="G131" s="27">
        <f>ROUNDUP(G130,0)</f>
        <v>22</v>
      </c>
      <c r="H131" s="28" t="s">
        <v>47</v>
      </c>
      <c r="I131" s="9"/>
      <c r="J131" s="4"/>
    </row>
    <row r="132" spans="1:10" s="31" customFormat="1">
      <c r="A132" s="13"/>
      <c r="B132" s="9"/>
      <c r="C132" s="46"/>
      <c r="D132" s="46"/>
      <c r="E132" s="46"/>
      <c r="F132" s="46"/>
      <c r="G132" s="33"/>
      <c r="H132" s="24"/>
      <c r="I132" s="9"/>
      <c r="J132" s="4"/>
    </row>
    <row r="133" spans="1:10" s="31" customFormat="1">
      <c r="A133" s="18">
        <v>18</v>
      </c>
      <c r="B133" s="9" t="s">
        <v>40</v>
      </c>
      <c r="C133" s="9"/>
      <c r="D133" s="9"/>
      <c r="E133" s="9"/>
      <c r="F133" s="9"/>
      <c r="G133" s="9"/>
      <c r="H133" s="9"/>
      <c r="I133" s="9"/>
      <c r="J133" s="4"/>
    </row>
    <row r="134" spans="1:10" s="31" customFormat="1">
      <c r="A134" s="18"/>
      <c r="B134" s="9" t="s">
        <v>79</v>
      </c>
      <c r="C134" s="5">
        <f>G51</f>
        <v>15</v>
      </c>
      <c r="D134" s="1" t="s">
        <v>18</v>
      </c>
      <c r="E134" s="5">
        <v>75</v>
      </c>
      <c r="F134" s="46"/>
      <c r="G134" s="4">
        <f>C134*E134</f>
        <v>1125</v>
      </c>
      <c r="H134" s="1" t="s">
        <v>19</v>
      </c>
      <c r="I134" s="9"/>
      <c r="J134" s="4"/>
    </row>
    <row r="135" spans="1:10" s="31" customFormat="1">
      <c r="A135" s="82"/>
      <c r="B135" s="9" t="s">
        <v>50</v>
      </c>
      <c r="C135" s="5">
        <f>G63</f>
        <v>13</v>
      </c>
      <c r="D135" s="1" t="s">
        <v>18</v>
      </c>
      <c r="E135" s="5">
        <v>250</v>
      </c>
      <c r="F135" s="46"/>
      <c r="G135" s="4">
        <f>C135*E135</f>
        <v>3250</v>
      </c>
      <c r="H135" s="1" t="s">
        <v>10</v>
      </c>
      <c r="I135" s="9"/>
      <c r="J135" s="4"/>
    </row>
    <row r="136" spans="1:10" s="31" customFormat="1">
      <c r="A136" s="11"/>
      <c r="B136" s="9" t="s">
        <v>26</v>
      </c>
      <c r="C136" s="5">
        <f>G71</f>
        <v>8</v>
      </c>
      <c r="D136" s="1" t="s">
        <v>18</v>
      </c>
      <c r="E136" s="5">
        <v>150</v>
      </c>
      <c r="F136" s="46"/>
      <c r="G136" s="4">
        <f>C136*E136</f>
        <v>1200</v>
      </c>
      <c r="H136" s="1" t="s">
        <v>10</v>
      </c>
      <c r="I136" s="9"/>
      <c r="J136" s="4"/>
    </row>
    <row r="137" spans="1:10" s="31" customFormat="1">
      <c r="A137" s="11"/>
      <c r="B137" s="9" t="s">
        <v>59</v>
      </c>
      <c r="C137" s="5">
        <f>G78</f>
        <v>15</v>
      </c>
      <c r="D137" s="1" t="s">
        <v>18</v>
      </c>
      <c r="E137" s="5">
        <v>200</v>
      </c>
      <c r="F137" s="46"/>
      <c r="G137" s="4">
        <f>C137*E137</f>
        <v>3000</v>
      </c>
      <c r="H137" s="1" t="s">
        <v>10</v>
      </c>
      <c r="I137" s="9"/>
      <c r="J137" s="4"/>
    </row>
    <row r="138" spans="1:10" s="31" customFormat="1">
      <c r="A138" s="11"/>
      <c r="B138" s="9" t="s">
        <v>129</v>
      </c>
      <c r="C138" s="5">
        <f>G87</f>
        <v>3</v>
      </c>
      <c r="D138" s="1" t="s">
        <v>18</v>
      </c>
      <c r="E138" s="5">
        <v>100</v>
      </c>
      <c r="F138" s="46"/>
      <c r="G138" s="4">
        <f>C138*E138</f>
        <v>300</v>
      </c>
      <c r="H138" s="1" t="s">
        <v>10</v>
      </c>
      <c r="I138" s="9"/>
      <c r="J138" s="4"/>
    </row>
    <row r="139" spans="1:10" s="31" customFormat="1">
      <c r="A139" s="11"/>
      <c r="B139" s="9"/>
      <c r="C139" s="5"/>
      <c r="D139" s="1"/>
      <c r="E139" s="5"/>
      <c r="F139" s="46"/>
      <c r="G139" s="4"/>
      <c r="H139" s="1"/>
      <c r="I139" s="9"/>
      <c r="J139" s="4"/>
    </row>
    <row r="140" spans="1:10" s="31" customFormat="1">
      <c r="A140" s="11"/>
      <c r="B140" s="9"/>
      <c r="C140" s="9"/>
      <c r="D140" s="9"/>
      <c r="E140" s="9"/>
      <c r="F140" s="70" t="s">
        <v>11</v>
      </c>
      <c r="G140" s="53">
        <f>SUM(G134:G139)</f>
        <v>8875</v>
      </c>
      <c r="H140" s="50" t="s">
        <v>19</v>
      </c>
      <c r="I140" s="9"/>
      <c r="J140" s="4"/>
    </row>
    <row r="141" spans="1:10" s="31" customFormat="1">
      <c r="A141" s="11"/>
      <c r="B141" s="9"/>
      <c r="C141" s="9"/>
      <c r="D141" s="9"/>
      <c r="E141" s="9"/>
      <c r="F141" s="69" t="s">
        <v>13</v>
      </c>
      <c r="G141" s="27">
        <f>ROUNDUP(G140,0)</f>
        <v>8875</v>
      </c>
      <c r="H141" s="28" t="s">
        <v>24</v>
      </c>
      <c r="I141" s="9"/>
      <c r="J141" s="4"/>
    </row>
    <row r="142" spans="1:10" s="31" customFormat="1">
      <c r="A142" s="18"/>
      <c r="B142" s="9"/>
      <c r="F142" s="9"/>
      <c r="G142" s="33"/>
      <c r="H142" s="24"/>
      <c r="J142" s="4"/>
    </row>
    <row r="143" spans="1:10" s="31" customFormat="1">
      <c r="A143" s="18">
        <v>19</v>
      </c>
      <c r="B143" s="9" t="s">
        <v>72</v>
      </c>
      <c r="F143" s="9"/>
      <c r="G143" s="33"/>
      <c r="H143" s="24"/>
      <c r="J143" s="4"/>
    </row>
    <row r="144" spans="1:10" s="31" customFormat="1">
      <c r="A144" s="79"/>
      <c r="B144" s="46"/>
      <c r="C144" s="1">
        <v>1</v>
      </c>
      <c r="D144" s="5">
        <v>9</v>
      </c>
      <c r="E144" s="5">
        <v>0.23</v>
      </c>
      <c r="F144" s="5">
        <v>3.8</v>
      </c>
      <c r="G144" s="4">
        <f>C144*D144*E144*F144</f>
        <v>7.8660000000000005</v>
      </c>
      <c r="H144" s="1" t="s">
        <v>9</v>
      </c>
      <c r="I144" s="9"/>
      <c r="J144" s="4"/>
    </row>
    <row r="145" spans="1:13">
      <c r="A145" s="79"/>
      <c r="B145" s="46"/>
      <c r="C145" s="1">
        <v>6</v>
      </c>
      <c r="D145" s="5">
        <v>4.5</v>
      </c>
      <c r="E145" s="5">
        <v>0.23</v>
      </c>
      <c r="F145" s="5">
        <v>3.75</v>
      </c>
      <c r="G145" s="4">
        <f>C145*D145*E145*F145</f>
        <v>23.287500000000001</v>
      </c>
      <c r="H145" s="1" t="s">
        <v>10</v>
      </c>
      <c r="I145" s="9"/>
      <c r="J145" s="4"/>
    </row>
    <row r="146" spans="1:13">
      <c r="A146" s="79"/>
      <c r="B146" s="46"/>
      <c r="C146" s="1">
        <v>4</v>
      </c>
      <c r="D146" s="5">
        <v>6</v>
      </c>
      <c r="E146" s="5">
        <v>0.23</v>
      </c>
      <c r="F146" s="5">
        <v>3.75</v>
      </c>
      <c r="G146" s="4">
        <f>C146*D146*E146*F146</f>
        <v>20.700000000000003</v>
      </c>
      <c r="H146" s="1" t="s">
        <v>10</v>
      </c>
      <c r="I146" s="9"/>
      <c r="J146" s="4"/>
    </row>
    <row r="147" spans="1:13">
      <c r="A147" s="13"/>
      <c r="B147" s="46" t="s">
        <v>73</v>
      </c>
      <c r="C147" s="1">
        <v>2</v>
      </c>
      <c r="D147" s="5">
        <v>3</v>
      </c>
      <c r="E147" s="5">
        <v>0.23</v>
      </c>
      <c r="F147" s="5">
        <v>3.5</v>
      </c>
      <c r="G147" s="4">
        <f>-C147*D147*E147*F147</f>
        <v>-4.83</v>
      </c>
      <c r="H147" s="1" t="s">
        <v>10</v>
      </c>
      <c r="I147" s="9"/>
      <c r="J147" s="4"/>
    </row>
    <row r="148" spans="1:13">
      <c r="A148" s="13"/>
      <c r="B148" s="46"/>
      <c r="C148" s="1">
        <v>7</v>
      </c>
      <c r="D148" s="5">
        <v>1.8</v>
      </c>
      <c r="E148" s="5">
        <v>0.23</v>
      </c>
      <c r="F148" s="5">
        <v>1.5</v>
      </c>
      <c r="G148" s="4">
        <f>-C148*D148*E148*F148</f>
        <v>-4.3470000000000004</v>
      </c>
      <c r="H148" s="1" t="s">
        <v>10</v>
      </c>
      <c r="I148" s="9"/>
      <c r="J148" s="4"/>
    </row>
    <row r="149" spans="1:13">
      <c r="A149" s="13"/>
      <c r="B149" s="46"/>
      <c r="C149" s="1"/>
      <c r="D149" s="5"/>
      <c r="E149" s="5"/>
      <c r="F149" s="5"/>
      <c r="G149" s="4"/>
      <c r="H149" s="1"/>
      <c r="I149" s="9"/>
      <c r="J149" s="4"/>
      <c r="M149" s="46"/>
    </row>
    <row r="150" spans="1:13">
      <c r="A150" s="13"/>
      <c r="B150" s="9"/>
      <c r="C150" s="9"/>
      <c r="D150" s="9"/>
      <c r="E150" s="4"/>
      <c r="F150" s="70" t="s">
        <v>11</v>
      </c>
      <c r="G150" s="53">
        <f>SUM(G144:G149)</f>
        <v>42.676500000000004</v>
      </c>
      <c r="H150" s="50" t="s">
        <v>12</v>
      </c>
      <c r="J150" s="4"/>
      <c r="M150" s="46"/>
    </row>
    <row r="151" spans="1:13">
      <c r="A151" s="13"/>
      <c r="B151" s="9"/>
      <c r="C151" s="9"/>
      <c r="D151" s="9"/>
      <c r="E151" s="4"/>
      <c r="F151" s="69" t="s">
        <v>13</v>
      </c>
      <c r="G151" s="27">
        <f>ROUNDUP(G150,0)</f>
        <v>43</v>
      </c>
      <c r="H151" s="28" t="s">
        <v>9</v>
      </c>
      <c r="I151" s="9"/>
      <c r="J151" s="4"/>
    </row>
    <row r="152" spans="1:13">
      <c r="A152" s="13"/>
      <c r="B152" s="9"/>
      <c r="C152" s="9"/>
      <c r="D152" s="9"/>
      <c r="E152" s="4"/>
      <c r="F152" s="9"/>
      <c r="G152" s="33"/>
      <c r="H152" s="24"/>
      <c r="I152" s="9"/>
      <c r="J152" s="4"/>
    </row>
    <row r="153" spans="1:13">
      <c r="A153" s="18">
        <v>20</v>
      </c>
      <c r="B153" s="29" t="s">
        <v>582</v>
      </c>
      <c r="C153" s="48"/>
      <c r="D153" s="48"/>
      <c r="E153" s="48"/>
      <c r="F153" s="9"/>
      <c r="G153" s="33"/>
      <c r="H153" s="24"/>
      <c r="I153" s="9"/>
      <c r="J153" s="4"/>
    </row>
    <row r="154" spans="1:13">
      <c r="A154" s="79"/>
      <c r="B154" s="46"/>
      <c r="C154" s="1">
        <v>7</v>
      </c>
      <c r="D154" s="5">
        <v>1.8</v>
      </c>
      <c r="E154" s="5"/>
      <c r="F154" s="5">
        <v>1.5</v>
      </c>
      <c r="G154" s="4">
        <f>C154*D154*F154</f>
        <v>18.899999999999999</v>
      </c>
      <c r="H154" s="1" t="s">
        <v>17</v>
      </c>
      <c r="I154" s="9"/>
      <c r="J154" s="4"/>
    </row>
    <row r="155" spans="1:13">
      <c r="A155" s="79"/>
      <c r="C155" s="9"/>
      <c r="D155" s="9"/>
      <c r="E155" s="9"/>
      <c r="F155" s="46" t="s">
        <v>583</v>
      </c>
      <c r="G155" s="2">
        <f>G154*21</f>
        <v>396.9</v>
      </c>
      <c r="H155" s="1" t="s">
        <v>24</v>
      </c>
      <c r="I155" s="9"/>
      <c r="J155" s="4"/>
    </row>
    <row r="156" spans="1:13">
      <c r="A156" s="79"/>
      <c r="C156" s="9"/>
      <c r="D156" s="9"/>
      <c r="E156" s="9"/>
      <c r="F156" s="69" t="s">
        <v>13</v>
      </c>
      <c r="G156" s="27">
        <f>ROUNDUP(G155,0)</f>
        <v>397</v>
      </c>
      <c r="H156" s="28" t="s">
        <v>24</v>
      </c>
      <c r="I156" s="9"/>
      <c r="J156" s="4"/>
    </row>
    <row r="157" spans="1:13">
      <c r="A157" s="79"/>
      <c r="C157" s="9"/>
      <c r="D157" s="9"/>
      <c r="E157" s="9"/>
      <c r="F157" s="71"/>
      <c r="G157" s="72"/>
      <c r="H157" s="73"/>
      <c r="I157" s="9"/>
      <c r="J157" s="4"/>
    </row>
    <row r="158" spans="1:13">
      <c r="A158" s="18">
        <v>20</v>
      </c>
      <c r="B158" s="32" t="s">
        <v>396</v>
      </c>
      <c r="C158" s="48"/>
      <c r="D158" s="48"/>
      <c r="E158" s="48"/>
      <c r="F158" s="9"/>
      <c r="G158" s="33"/>
      <c r="H158" s="24"/>
      <c r="I158" s="9"/>
      <c r="J158" s="4"/>
    </row>
    <row r="159" spans="1:13">
      <c r="A159" s="79"/>
      <c r="B159" s="46"/>
      <c r="C159" s="1">
        <v>7</v>
      </c>
      <c r="D159" s="5">
        <v>1.8</v>
      </c>
      <c r="E159" s="5"/>
      <c r="F159" s="5">
        <v>1.5</v>
      </c>
      <c r="G159" s="4">
        <f>C159*D159*F159</f>
        <v>18.899999999999999</v>
      </c>
      <c r="H159" s="1" t="s">
        <v>17</v>
      </c>
      <c r="I159" s="9"/>
      <c r="J159" s="4"/>
    </row>
    <row r="160" spans="1:13">
      <c r="A160" s="79"/>
      <c r="C160" s="9"/>
      <c r="D160" s="9"/>
      <c r="E160" s="9"/>
      <c r="F160" s="69" t="s">
        <v>13</v>
      </c>
      <c r="G160" s="27">
        <f>ROUNDUP(G159,0)</f>
        <v>19</v>
      </c>
      <c r="H160" s="28" t="s">
        <v>17</v>
      </c>
      <c r="I160" s="9"/>
      <c r="J160" s="4"/>
    </row>
    <row r="161" spans="1:11">
      <c r="A161" s="79"/>
      <c r="C161" s="9"/>
      <c r="D161" s="9"/>
      <c r="E161" s="9"/>
      <c r="F161" s="71"/>
      <c r="G161" s="72"/>
      <c r="H161" s="73"/>
      <c r="I161" s="9"/>
      <c r="J161" s="4"/>
    </row>
    <row r="162" spans="1:11">
      <c r="A162" s="18">
        <v>21</v>
      </c>
      <c r="B162" s="9" t="s">
        <v>308</v>
      </c>
      <c r="C162" s="1">
        <v>1</v>
      </c>
      <c r="D162" s="5">
        <v>18</v>
      </c>
      <c r="E162" s="5">
        <v>12</v>
      </c>
      <c r="F162" s="4">
        <f>C162*D162*E162</f>
        <v>216</v>
      </c>
      <c r="H162" s="1" t="s">
        <v>17</v>
      </c>
      <c r="I162" s="9"/>
      <c r="J162" s="4"/>
    </row>
    <row r="163" spans="1:11">
      <c r="A163" s="18"/>
      <c r="B163" s="9"/>
      <c r="C163" s="1"/>
      <c r="D163" s="5"/>
      <c r="F163" s="2" t="s">
        <v>584</v>
      </c>
      <c r="G163" s="4">
        <f>F162*30</f>
        <v>6480</v>
      </c>
      <c r="H163" s="1" t="s">
        <v>24</v>
      </c>
      <c r="I163" s="9"/>
      <c r="J163" s="4"/>
    </row>
    <row r="164" spans="1:11">
      <c r="A164" s="18"/>
      <c r="B164" s="9"/>
      <c r="C164" s="1"/>
      <c r="D164" s="5"/>
      <c r="F164" s="2"/>
      <c r="G164" s="4"/>
      <c r="H164" s="1"/>
      <c r="I164" s="9"/>
      <c r="J164" s="4"/>
    </row>
    <row r="165" spans="1:11">
      <c r="A165" s="18"/>
      <c r="B165" s="9"/>
      <c r="C165" s="1">
        <f>0.5*2</f>
        <v>1</v>
      </c>
      <c r="D165" s="5">
        <v>9</v>
      </c>
      <c r="E165" s="5">
        <v>2.6</v>
      </c>
      <c r="F165" s="4">
        <f>C165*D165*E165</f>
        <v>23.400000000000002</v>
      </c>
      <c r="H165" s="1"/>
      <c r="I165" s="9"/>
      <c r="J165" s="4"/>
    </row>
    <row r="166" spans="1:11">
      <c r="A166" s="18"/>
      <c r="B166" s="9"/>
      <c r="C166" s="1">
        <v>4</v>
      </c>
      <c r="D166" s="5">
        <v>4.5</v>
      </c>
      <c r="E166" s="5">
        <v>3.6</v>
      </c>
      <c r="F166" s="4">
        <f>C166*D166*E166</f>
        <v>64.8</v>
      </c>
      <c r="H166" s="1"/>
      <c r="I166" s="9"/>
      <c r="J166" s="4"/>
      <c r="K166" s="31"/>
    </row>
    <row r="167" spans="1:11">
      <c r="A167" s="18"/>
      <c r="B167" s="9"/>
      <c r="C167" s="1">
        <v>2</v>
      </c>
      <c r="D167" s="5">
        <v>4.5</v>
      </c>
      <c r="E167" s="5">
        <v>2</v>
      </c>
      <c r="F167" s="4">
        <f>C167*D167*E167</f>
        <v>18</v>
      </c>
      <c r="H167" s="1"/>
      <c r="I167" s="9"/>
      <c r="J167" s="4"/>
      <c r="K167" s="31"/>
    </row>
    <row r="168" spans="1:11">
      <c r="A168" s="18"/>
      <c r="B168" s="9"/>
      <c r="C168" s="1">
        <v>2</v>
      </c>
      <c r="D168" s="5">
        <v>6</v>
      </c>
      <c r="E168" s="5">
        <v>3.6</v>
      </c>
      <c r="F168" s="4">
        <f>C168*D168*E168</f>
        <v>43.2</v>
      </c>
      <c r="H168" s="1"/>
      <c r="I168" s="9"/>
      <c r="J168" s="4"/>
      <c r="K168" s="31"/>
    </row>
    <row r="169" spans="1:11">
      <c r="A169" s="18"/>
      <c r="B169" s="9"/>
      <c r="C169" s="1"/>
      <c r="D169" s="5"/>
      <c r="E169" s="53" t="s">
        <v>11</v>
      </c>
      <c r="F169" s="53">
        <f>SUM(F165:F168)</f>
        <v>149.4</v>
      </c>
      <c r="H169" s="1"/>
      <c r="I169" s="9"/>
      <c r="J169" s="4"/>
      <c r="K169" s="31"/>
    </row>
    <row r="170" spans="1:11">
      <c r="A170" s="18"/>
      <c r="B170" s="9"/>
      <c r="C170" s="1"/>
      <c r="D170" s="5"/>
      <c r="F170" s="2" t="s">
        <v>309</v>
      </c>
      <c r="G170" s="4">
        <f>F169*12</f>
        <v>1792.8000000000002</v>
      </c>
      <c r="H170" s="1"/>
      <c r="I170" s="9"/>
      <c r="J170" s="4"/>
      <c r="K170" s="31"/>
    </row>
    <row r="171" spans="1:11">
      <c r="A171" s="18"/>
      <c r="B171" s="46" t="s">
        <v>310</v>
      </c>
      <c r="C171" s="1"/>
      <c r="D171" s="5"/>
      <c r="E171" s="5"/>
      <c r="F171" s="4"/>
      <c r="G171" s="4">
        <v>1000</v>
      </c>
      <c r="H171" s="1"/>
      <c r="I171" s="9"/>
      <c r="J171" s="4"/>
      <c r="K171" s="31"/>
    </row>
    <row r="172" spans="1:11">
      <c r="A172" s="18"/>
      <c r="B172" s="9"/>
      <c r="C172" s="1"/>
      <c r="D172" s="5"/>
      <c r="F172" s="2"/>
      <c r="G172" s="4"/>
      <c r="H172" s="1"/>
      <c r="I172" s="9"/>
      <c r="J172" s="4"/>
      <c r="K172" s="31"/>
    </row>
    <row r="173" spans="1:11">
      <c r="A173" s="18"/>
      <c r="B173" s="9"/>
      <c r="C173" s="1"/>
      <c r="D173" s="5"/>
      <c r="F173" s="70" t="s">
        <v>11</v>
      </c>
      <c r="G173" s="53">
        <f>SUM(G163:G172)</f>
        <v>9272.7999999999993</v>
      </c>
      <c r="H173" s="50" t="s">
        <v>24</v>
      </c>
      <c r="I173" s="9"/>
      <c r="J173" s="4"/>
      <c r="K173" s="31"/>
    </row>
    <row r="174" spans="1:11">
      <c r="A174" s="18"/>
      <c r="B174" s="46"/>
      <c r="C174" s="1"/>
      <c r="D174" s="5"/>
      <c r="E174" s="5"/>
      <c r="F174" s="69" t="s">
        <v>13</v>
      </c>
      <c r="G174" s="27">
        <f>ROUNDUP(G173,0)</f>
        <v>9273</v>
      </c>
      <c r="H174" s="28" t="s">
        <v>24</v>
      </c>
      <c r="I174" s="9"/>
      <c r="J174" s="4"/>
      <c r="K174" s="31"/>
    </row>
    <row r="175" spans="1:11">
      <c r="A175" s="79"/>
      <c r="C175" s="9"/>
      <c r="D175" s="9"/>
      <c r="E175" s="9"/>
      <c r="F175" s="71"/>
      <c r="G175" s="72"/>
      <c r="H175" s="73"/>
      <c r="I175" s="9"/>
      <c r="J175" s="4"/>
      <c r="K175" s="31"/>
    </row>
    <row r="176" spans="1:11">
      <c r="A176" s="18">
        <v>22</v>
      </c>
      <c r="B176" s="9" t="s">
        <v>311</v>
      </c>
      <c r="C176" s="1">
        <v>1</v>
      </c>
      <c r="D176" s="5">
        <v>18</v>
      </c>
      <c r="E176" s="5">
        <v>12</v>
      </c>
      <c r="G176" s="4">
        <f>C176*D176*E176</f>
        <v>216</v>
      </c>
      <c r="H176" s="1" t="s">
        <v>17</v>
      </c>
      <c r="I176" s="9"/>
      <c r="J176" s="4"/>
      <c r="K176" s="31"/>
    </row>
    <row r="177" spans="1:11">
      <c r="A177" s="18"/>
      <c r="B177" s="9"/>
      <c r="C177" s="1">
        <f>0.5*2</f>
        <v>1</v>
      </c>
      <c r="D177" s="5">
        <v>9</v>
      </c>
      <c r="E177" s="5">
        <v>2.6</v>
      </c>
      <c r="G177" s="4">
        <f>C177*D177*E177</f>
        <v>23.400000000000002</v>
      </c>
      <c r="H177" s="1" t="s">
        <v>10</v>
      </c>
      <c r="I177" s="9"/>
      <c r="J177" s="4"/>
      <c r="K177" s="31"/>
    </row>
    <row r="178" spans="1:11">
      <c r="A178" s="18"/>
      <c r="B178" s="9"/>
      <c r="C178" s="1">
        <v>4</v>
      </c>
      <c r="D178" s="5">
        <v>4.5</v>
      </c>
      <c r="E178" s="5">
        <v>3.6</v>
      </c>
      <c r="G178" s="4">
        <f>C178*D178*E178</f>
        <v>64.8</v>
      </c>
      <c r="H178" s="1" t="s">
        <v>10</v>
      </c>
      <c r="I178" s="9"/>
      <c r="J178" s="4"/>
      <c r="K178" s="31"/>
    </row>
    <row r="179" spans="1:11">
      <c r="A179" s="18"/>
      <c r="B179" s="9"/>
      <c r="C179" s="1">
        <v>2</v>
      </c>
      <c r="D179" s="5">
        <v>4.5</v>
      </c>
      <c r="E179" s="5">
        <v>2</v>
      </c>
      <c r="G179" s="4">
        <f>C179*D179*E179</f>
        <v>18</v>
      </c>
      <c r="H179" s="1" t="s">
        <v>10</v>
      </c>
      <c r="I179" s="9"/>
      <c r="J179" s="4"/>
      <c r="K179" s="31"/>
    </row>
    <row r="180" spans="1:11">
      <c r="A180" s="18"/>
      <c r="B180" s="9"/>
      <c r="C180" s="1">
        <v>2</v>
      </c>
      <c r="D180" s="5">
        <v>6</v>
      </c>
      <c r="E180" s="5">
        <v>3.6</v>
      </c>
      <c r="G180" s="4">
        <f>C180*D180*E180</f>
        <v>43.2</v>
      </c>
      <c r="H180" s="1" t="s">
        <v>10</v>
      </c>
      <c r="I180" s="9"/>
      <c r="J180" s="4"/>
      <c r="K180" s="31"/>
    </row>
    <row r="181" spans="1:11">
      <c r="A181" s="18"/>
      <c r="B181" s="9"/>
      <c r="C181" s="1"/>
      <c r="D181" s="5"/>
      <c r="E181" s="5"/>
      <c r="G181" s="4"/>
      <c r="H181" s="1"/>
      <c r="I181" s="9"/>
      <c r="J181" s="4"/>
      <c r="K181" s="31"/>
    </row>
    <row r="182" spans="1:11">
      <c r="A182" s="18"/>
      <c r="B182" s="9"/>
      <c r="C182" s="1"/>
      <c r="D182" s="5"/>
      <c r="E182" s="5"/>
      <c r="F182" s="70" t="s">
        <v>11</v>
      </c>
      <c r="G182" s="53">
        <f>SUM(G176:G181)</f>
        <v>365.4</v>
      </c>
      <c r="H182" s="50" t="s">
        <v>17</v>
      </c>
      <c r="I182" s="9"/>
      <c r="J182" s="4"/>
      <c r="K182" s="31"/>
    </row>
    <row r="183" spans="1:11">
      <c r="A183" s="79"/>
      <c r="C183" s="9"/>
      <c r="D183" s="9"/>
      <c r="E183" s="9"/>
      <c r="F183" s="69" t="s">
        <v>13</v>
      </c>
      <c r="G183" s="27">
        <f>ROUNDUP(G182,0)</f>
        <v>366</v>
      </c>
      <c r="H183" s="28" t="s">
        <v>17</v>
      </c>
      <c r="I183" s="9"/>
      <c r="J183" s="4"/>
      <c r="K183" s="31"/>
    </row>
    <row r="184" spans="1:11">
      <c r="A184" s="79"/>
      <c r="C184" s="9"/>
      <c r="D184" s="9"/>
      <c r="E184" s="9"/>
      <c r="F184" s="9"/>
      <c r="G184" s="33"/>
      <c r="H184" s="24"/>
      <c r="I184" s="9"/>
      <c r="J184" s="4"/>
      <c r="K184" s="31"/>
    </row>
    <row r="185" spans="1:11">
      <c r="A185" s="18">
        <v>23</v>
      </c>
      <c r="B185" s="9" t="s">
        <v>312</v>
      </c>
      <c r="C185" s="1">
        <v>2</v>
      </c>
      <c r="D185" s="5">
        <v>18</v>
      </c>
      <c r="E185" s="5"/>
      <c r="G185" s="4">
        <f>C185*D185</f>
        <v>36</v>
      </c>
      <c r="H185" s="1" t="s">
        <v>49</v>
      </c>
      <c r="I185" s="9"/>
      <c r="J185" s="4"/>
      <c r="K185" s="31"/>
    </row>
    <row r="186" spans="1:11">
      <c r="A186" s="79"/>
      <c r="C186" s="9"/>
      <c r="D186" s="9"/>
      <c r="E186" s="9"/>
      <c r="F186" s="69" t="s">
        <v>13</v>
      </c>
      <c r="G186" s="27">
        <f>ROUNDUP(G185,0)</f>
        <v>36</v>
      </c>
      <c r="H186" s="28" t="s">
        <v>49</v>
      </c>
      <c r="I186" s="9"/>
      <c r="J186" s="4"/>
      <c r="K186" s="31"/>
    </row>
    <row r="187" spans="1:11">
      <c r="A187" s="79"/>
      <c r="C187" s="9"/>
      <c r="D187" s="9"/>
      <c r="E187" s="9"/>
      <c r="F187" s="9"/>
      <c r="G187" s="33"/>
      <c r="H187" s="24"/>
      <c r="I187" s="9"/>
      <c r="J187" s="4"/>
      <c r="K187" s="31"/>
    </row>
    <row r="188" spans="1:11">
      <c r="A188" s="18">
        <v>24</v>
      </c>
      <c r="B188" s="9" t="s">
        <v>313</v>
      </c>
      <c r="C188" s="1">
        <v>1</v>
      </c>
      <c r="D188" s="5">
        <v>18</v>
      </c>
      <c r="E188" s="5"/>
      <c r="G188" s="4">
        <f>C188*D188</f>
        <v>18</v>
      </c>
      <c r="H188" s="1" t="s">
        <v>49</v>
      </c>
      <c r="I188" s="9"/>
      <c r="J188" s="4"/>
      <c r="K188" s="31"/>
    </row>
    <row r="189" spans="1:11">
      <c r="A189" s="79"/>
      <c r="C189" s="9"/>
      <c r="D189" s="9"/>
      <c r="E189" s="9"/>
      <c r="F189" s="69" t="s">
        <v>13</v>
      </c>
      <c r="G189" s="27">
        <f>ROUNDUP(G188,0)</f>
        <v>18</v>
      </c>
      <c r="H189" s="28" t="s">
        <v>49</v>
      </c>
      <c r="I189" s="9"/>
      <c r="J189" s="4"/>
      <c r="K189" s="31"/>
    </row>
    <row r="190" spans="1:11">
      <c r="A190" s="79"/>
      <c r="C190" s="9"/>
      <c r="D190" s="9"/>
      <c r="E190" s="9"/>
      <c r="F190" s="9"/>
      <c r="G190" s="33"/>
      <c r="H190" s="24"/>
      <c r="I190" s="9"/>
      <c r="J190" s="4"/>
      <c r="K190" s="31"/>
    </row>
    <row r="191" spans="1:11">
      <c r="A191" s="18">
        <v>25</v>
      </c>
      <c r="B191" s="9" t="s">
        <v>314</v>
      </c>
      <c r="C191" s="1">
        <v>1</v>
      </c>
      <c r="D191" s="5">
        <f>18+12+18+12+12</f>
        <v>72</v>
      </c>
      <c r="E191" s="5"/>
      <c r="G191" s="4">
        <f>C191*D191</f>
        <v>72</v>
      </c>
      <c r="H191" s="1" t="s">
        <v>49</v>
      </c>
      <c r="I191" s="9"/>
      <c r="J191" s="4"/>
      <c r="K191" s="31"/>
    </row>
    <row r="192" spans="1:11">
      <c r="A192" s="18"/>
      <c r="B192" s="9"/>
      <c r="C192" s="1">
        <v>6</v>
      </c>
      <c r="D192" s="5">
        <v>3.5</v>
      </c>
      <c r="E192" s="5"/>
      <c r="G192" s="4">
        <f>C192*D192</f>
        <v>21</v>
      </c>
      <c r="H192" s="1" t="s">
        <v>10</v>
      </c>
      <c r="I192" s="9"/>
      <c r="J192" s="4"/>
      <c r="K192" s="31"/>
    </row>
    <row r="193" spans="1:11">
      <c r="A193" s="18"/>
      <c r="B193" s="9"/>
      <c r="C193" s="1"/>
      <c r="D193" s="5"/>
      <c r="E193" s="5"/>
      <c r="G193" s="4"/>
      <c r="H193" s="1"/>
      <c r="I193" s="9"/>
      <c r="J193" s="4"/>
      <c r="K193" s="31"/>
    </row>
    <row r="194" spans="1:11">
      <c r="A194" s="18"/>
      <c r="B194" s="9"/>
      <c r="C194" s="1"/>
      <c r="D194" s="5"/>
      <c r="E194" s="5"/>
      <c r="F194" s="70" t="s">
        <v>11</v>
      </c>
      <c r="G194" s="53">
        <f>SUM(G191:G193)</f>
        <v>93</v>
      </c>
      <c r="H194" s="50" t="s">
        <v>49</v>
      </c>
      <c r="I194" s="9"/>
      <c r="J194" s="4"/>
      <c r="K194" s="31"/>
    </row>
    <row r="195" spans="1:11">
      <c r="A195" s="79"/>
      <c r="C195" s="9"/>
      <c r="D195" s="9"/>
      <c r="E195" s="9"/>
      <c r="F195" s="69" t="s">
        <v>13</v>
      </c>
      <c r="G195" s="27">
        <f>ROUNDUP(G194,0)</f>
        <v>93</v>
      </c>
      <c r="H195" s="28" t="s">
        <v>49</v>
      </c>
      <c r="I195" s="9"/>
      <c r="J195" s="4"/>
      <c r="K195" s="31"/>
    </row>
    <row r="196" spans="1:11">
      <c r="A196" s="79"/>
      <c r="C196" s="9"/>
      <c r="D196" s="9"/>
      <c r="E196" s="9"/>
      <c r="F196" s="71"/>
      <c r="G196" s="72"/>
      <c r="H196" s="73"/>
      <c r="I196" s="9"/>
      <c r="J196" s="4"/>
      <c r="K196" s="31"/>
    </row>
    <row r="197" spans="1:11">
      <c r="A197" s="18">
        <v>26</v>
      </c>
      <c r="B197" s="9" t="s">
        <v>43</v>
      </c>
      <c r="I197" s="9"/>
      <c r="J197" s="4"/>
      <c r="K197" s="31"/>
    </row>
    <row r="198" spans="1:11">
      <c r="A198" s="18"/>
      <c r="B198" s="46"/>
      <c r="C198" s="1">
        <v>1</v>
      </c>
      <c r="D198" s="5">
        <f>13.5+12+13.5+12</f>
        <v>51</v>
      </c>
      <c r="E198" s="1"/>
      <c r="F198" s="5">
        <v>2.9</v>
      </c>
      <c r="G198" s="4">
        <f>C198*D198*F198</f>
        <v>147.9</v>
      </c>
      <c r="H198" s="1" t="s">
        <v>17</v>
      </c>
      <c r="I198" s="9"/>
      <c r="J198" s="4"/>
    </row>
    <row r="199" spans="1:11">
      <c r="A199" s="13"/>
      <c r="B199" s="46"/>
      <c r="C199" s="1">
        <v>1</v>
      </c>
      <c r="D199" s="5">
        <v>9</v>
      </c>
      <c r="E199" s="1"/>
      <c r="F199" s="5">
        <v>1.1000000000000001</v>
      </c>
      <c r="G199" s="4">
        <f>C199*D199*F199</f>
        <v>9.9</v>
      </c>
      <c r="H199" s="1" t="s">
        <v>10</v>
      </c>
      <c r="I199" s="9"/>
      <c r="J199" s="4"/>
    </row>
    <row r="200" spans="1:11">
      <c r="A200" s="13"/>
      <c r="B200" s="46"/>
      <c r="C200" s="1">
        <v>2</v>
      </c>
      <c r="D200" s="5">
        <f>12+4.5</f>
        <v>16.5</v>
      </c>
      <c r="E200" s="1"/>
      <c r="F200" s="5">
        <v>2.9</v>
      </c>
      <c r="G200" s="4">
        <f>C200*D200*F200</f>
        <v>95.7</v>
      </c>
      <c r="H200" s="1" t="s">
        <v>10</v>
      </c>
      <c r="I200" s="9"/>
      <c r="J200" s="4"/>
    </row>
    <row r="201" spans="1:11">
      <c r="A201" s="13"/>
      <c r="B201" s="46" t="s">
        <v>73</v>
      </c>
      <c r="C201" s="1">
        <v>2</v>
      </c>
      <c r="D201" s="5">
        <v>3</v>
      </c>
      <c r="E201" s="5"/>
      <c r="F201" s="5">
        <v>3.5</v>
      </c>
      <c r="G201" s="4">
        <f>-C201*D201*F201</f>
        <v>-21</v>
      </c>
      <c r="H201" s="1" t="s">
        <v>10</v>
      </c>
      <c r="I201" s="9"/>
      <c r="J201" s="4"/>
      <c r="K201" s="31"/>
    </row>
    <row r="202" spans="1:11">
      <c r="A202" s="13"/>
      <c r="B202" s="46"/>
      <c r="C202" s="1">
        <v>7</v>
      </c>
      <c r="D202" s="5">
        <v>1.8</v>
      </c>
      <c r="E202" s="5"/>
      <c r="F202" s="5">
        <v>1.5</v>
      </c>
      <c r="G202" s="4">
        <f>-C202*D202*F202</f>
        <v>-18.899999999999999</v>
      </c>
      <c r="H202" s="1" t="s">
        <v>10</v>
      </c>
      <c r="I202" s="9"/>
      <c r="J202" s="4"/>
      <c r="K202" s="31"/>
    </row>
    <row r="203" spans="1:11">
      <c r="A203" s="13"/>
      <c r="B203" s="46"/>
      <c r="C203" s="1"/>
      <c r="D203" s="5"/>
      <c r="E203" s="5"/>
      <c r="F203" s="5"/>
      <c r="G203" s="4"/>
      <c r="H203" s="1"/>
      <c r="I203" s="9"/>
      <c r="J203" s="4"/>
      <c r="K203" s="31"/>
    </row>
    <row r="204" spans="1:11">
      <c r="A204" s="13"/>
      <c r="B204" s="9"/>
      <c r="C204" s="46"/>
      <c r="D204" s="2"/>
      <c r="E204" s="4"/>
      <c r="F204" s="70" t="s">
        <v>11</v>
      </c>
      <c r="G204" s="53">
        <f>SUM(G198:G203)</f>
        <v>213.6</v>
      </c>
      <c r="H204" s="50" t="s">
        <v>17</v>
      </c>
      <c r="I204" s="9"/>
      <c r="J204" s="4"/>
      <c r="K204" s="31"/>
    </row>
    <row r="205" spans="1:11">
      <c r="A205" s="13"/>
      <c r="B205" s="9"/>
      <c r="C205" s="46"/>
      <c r="D205" s="46"/>
      <c r="E205" s="9"/>
      <c r="F205" s="69" t="s">
        <v>13</v>
      </c>
      <c r="G205" s="27">
        <f>ROUNDUP(G204,0)</f>
        <v>214</v>
      </c>
      <c r="H205" s="28" t="s">
        <v>17</v>
      </c>
      <c r="I205" s="9"/>
      <c r="J205" s="4"/>
      <c r="K205" s="31"/>
    </row>
    <row r="206" spans="1:11">
      <c r="A206" s="13"/>
      <c r="B206" s="9"/>
      <c r="C206" s="46"/>
      <c r="D206" s="46"/>
      <c r="E206" s="9"/>
      <c r="F206" s="9"/>
      <c r="G206" s="33"/>
      <c r="H206" s="24"/>
      <c r="I206" s="9"/>
      <c r="J206" s="4"/>
      <c r="K206" s="31"/>
    </row>
    <row r="207" spans="1:11">
      <c r="A207" s="18">
        <v>27</v>
      </c>
      <c r="B207" s="9" t="s">
        <v>65</v>
      </c>
      <c r="C207" s="1">
        <v>1</v>
      </c>
      <c r="D207" s="5">
        <f>18+18+12+12</f>
        <v>60</v>
      </c>
      <c r="E207" s="1"/>
      <c r="F207" s="5">
        <v>3.4</v>
      </c>
      <c r="G207" s="4">
        <f>C207*D207*F207</f>
        <v>204</v>
      </c>
      <c r="H207" s="1" t="s">
        <v>17</v>
      </c>
      <c r="I207" s="9"/>
      <c r="J207" s="4"/>
      <c r="K207" s="31"/>
    </row>
    <row r="208" spans="1:11">
      <c r="A208" s="18"/>
      <c r="B208" s="9"/>
      <c r="C208" s="1">
        <v>1</v>
      </c>
      <c r="D208" s="5">
        <v>9</v>
      </c>
      <c r="E208" s="1"/>
      <c r="F208" s="5">
        <v>1.1000000000000001</v>
      </c>
      <c r="G208" s="4">
        <f>C208*D208*F208</f>
        <v>9.9</v>
      </c>
      <c r="H208" s="1" t="s">
        <v>10</v>
      </c>
      <c r="I208" s="9"/>
      <c r="J208" s="4"/>
      <c r="K208" s="31"/>
    </row>
    <row r="209" spans="1:11">
      <c r="A209" s="18"/>
      <c r="B209" s="9"/>
      <c r="C209" s="1"/>
      <c r="D209" s="5"/>
      <c r="E209" s="1"/>
      <c r="F209" s="5"/>
      <c r="G209" s="4"/>
      <c r="H209" s="1"/>
      <c r="I209" s="9"/>
      <c r="J209" s="4"/>
      <c r="K209" s="31"/>
    </row>
    <row r="210" spans="1:11">
      <c r="A210" s="18"/>
      <c r="B210" s="9"/>
      <c r="C210" s="1"/>
      <c r="D210" s="5"/>
      <c r="E210" s="1"/>
      <c r="F210" s="70" t="s">
        <v>11</v>
      </c>
      <c r="G210" s="53">
        <f>SUM(G207:G209)</f>
        <v>213.9</v>
      </c>
      <c r="H210" s="50" t="s">
        <v>17</v>
      </c>
      <c r="I210" s="9"/>
      <c r="J210" s="4"/>
      <c r="K210" s="31"/>
    </row>
    <row r="211" spans="1:11">
      <c r="A211" s="18"/>
      <c r="B211" s="9"/>
      <c r="C211" s="46"/>
      <c r="D211" s="46"/>
      <c r="E211" s="9"/>
      <c r="F211" s="69" t="s">
        <v>13</v>
      </c>
      <c r="G211" s="27">
        <f>ROUNDUP(G210,0)</f>
        <v>214</v>
      </c>
      <c r="H211" s="28" t="s">
        <v>17</v>
      </c>
      <c r="I211" s="9"/>
      <c r="J211" s="4"/>
      <c r="K211" s="31"/>
    </row>
    <row r="212" spans="1:11">
      <c r="A212" s="18"/>
      <c r="B212" s="9"/>
      <c r="C212" s="46"/>
      <c r="D212" s="46"/>
      <c r="E212" s="9"/>
      <c r="F212" s="9"/>
      <c r="G212" s="33"/>
      <c r="H212" s="24"/>
      <c r="I212" s="9"/>
      <c r="J212" s="4"/>
      <c r="K212" s="31"/>
    </row>
    <row r="213" spans="1:11">
      <c r="A213" s="18">
        <v>28</v>
      </c>
      <c r="B213" s="6" t="s">
        <v>315</v>
      </c>
      <c r="C213" s="46"/>
      <c r="D213" s="2"/>
      <c r="E213" s="5"/>
      <c r="F213" s="9"/>
      <c r="G213" s="4"/>
      <c r="H213" s="1"/>
      <c r="I213" s="9"/>
      <c r="J213" s="4"/>
    </row>
    <row r="214" spans="1:11">
      <c r="A214" s="13"/>
      <c r="B214" s="46"/>
      <c r="C214" s="1">
        <v>1</v>
      </c>
      <c r="D214" s="5">
        <v>18</v>
      </c>
      <c r="E214" s="5">
        <v>12</v>
      </c>
      <c r="F214" s="9"/>
      <c r="G214" s="4">
        <f>C214*D214*E214</f>
        <v>216</v>
      </c>
      <c r="H214" s="1" t="s">
        <v>17</v>
      </c>
      <c r="I214" s="9"/>
      <c r="J214" s="4"/>
      <c r="K214" s="31"/>
    </row>
    <row r="215" spans="1:11">
      <c r="A215" s="66"/>
      <c r="C215" s="74"/>
      <c r="D215" s="74"/>
      <c r="F215" s="69" t="s">
        <v>13</v>
      </c>
      <c r="G215" s="27">
        <f>ROUNDUP(G214,0)</f>
        <v>216</v>
      </c>
      <c r="H215" s="28" t="s">
        <v>17</v>
      </c>
      <c r="I215" s="9"/>
      <c r="J215" s="4"/>
      <c r="K215" s="31"/>
    </row>
    <row r="216" spans="1:11">
      <c r="A216" s="18"/>
      <c r="B216" s="8"/>
      <c r="J216" s="4"/>
    </row>
    <row r="217" spans="1:11">
      <c r="A217" s="18">
        <v>29</v>
      </c>
      <c r="B217" s="9" t="s">
        <v>46</v>
      </c>
      <c r="C217" s="1"/>
      <c r="D217" s="5"/>
      <c r="E217" s="1"/>
      <c r="F217" s="5"/>
      <c r="G217" s="4"/>
      <c r="H217" s="1"/>
      <c r="I217" s="9"/>
      <c r="J217" s="4"/>
    </row>
    <row r="218" spans="1:11">
      <c r="A218" s="29"/>
      <c r="B218" s="46" t="s">
        <v>25</v>
      </c>
      <c r="C218" s="46"/>
      <c r="D218" s="2"/>
      <c r="E218" s="2"/>
      <c r="F218" s="9"/>
      <c r="G218" s="4">
        <f>G204</f>
        <v>213.6</v>
      </c>
      <c r="H218" s="1" t="s">
        <v>17</v>
      </c>
      <c r="I218" s="9"/>
      <c r="J218" s="4"/>
    </row>
    <row r="219" spans="1:11">
      <c r="A219" s="29"/>
      <c r="B219" s="46" t="s">
        <v>64</v>
      </c>
      <c r="C219" s="46"/>
      <c r="D219" s="2"/>
      <c r="E219" s="2"/>
      <c r="F219" s="9"/>
      <c r="G219" s="4">
        <f>G211</f>
        <v>214</v>
      </c>
      <c r="H219" s="1" t="s">
        <v>10</v>
      </c>
      <c r="I219" s="9"/>
      <c r="J219" s="4"/>
    </row>
    <row r="220" spans="1:11">
      <c r="A220" s="54"/>
      <c r="B220" s="46"/>
      <c r="C220" s="1"/>
      <c r="D220" s="5"/>
      <c r="E220" s="1"/>
      <c r="F220" s="5"/>
      <c r="G220" s="4"/>
      <c r="H220" s="1"/>
      <c r="I220" s="9"/>
      <c r="J220" s="4"/>
    </row>
    <row r="221" spans="1:11">
      <c r="A221" s="54"/>
      <c r="B221" s="46"/>
      <c r="C221" s="1"/>
      <c r="D221" s="5"/>
      <c r="E221" s="1"/>
      <c r="F221" s="70" t="s">
        <v>11</v>
      </c>
      <c r="G221" s="53">
        <f>SUM(G218:G220)</f>
        <v>427.6</v>
      </c>
      <c r="H221" s="50" t="s">
        <v>17</v>
      </c>
      <c r="I221" s="9"/>
      <c r="J221" s="4"/>
    </row>
    <row r="222" spans="1:11">
      <c r="B222" s="46"/>
      <c r="C222" s="46"/>
      <c r="D222" s="46"/>
      <c r="E222" s="9"/>
      <c r="F222" s="69" t="s">
        <v>13</v>
      </c>
      <c r="G222" s="27">
        <f>ROUNDUP(G221,0)</f>
        <v>428</v>
      </c>
      <c r="H222" s="28" t="s">
        <v>17</v>
      </c>
      <c r="I222" s="9"/>
      <c r="J222" s="4"/>
    </row>
    <row r="223" spans="1:11">
      <c r="B223" s="9"/>
      <c r="C223" s="46"/>
      <c r="D223" s="2"/>
      <c r="E223" s="4"/>
      <c r="F223" s="4"/>
      <c r="G223" s="4"/>
      <c r="H223" s="1"/>
      <c r="J223" s="4"/>
    </row>
    <row r="224" spans="1:11">
      <c r="A224" s="18">
        <v>30</v>
      </c>
      <c r="B224" s="9" t="s">
        <v>316</v>
      </c>
      <c r="C224" s="1">
        <v>1</v>
      </c>
      <c r="D224" s="5">
        <f>18+12+18+12</f>
        <v>60</v>
      </c>
      <c r="E224" s="5">
        <v>1.5</v>
      </c>
      <c r="F224" s="9"/>
      <c r="G224" s="4">
        <f>C224*D224*E224</f>
        <v>90</v>
      </c>
      <c r="H224" s="1" t="s">
        <v>17</v>
      </c>
    </row>
    <row r="225" spans="1:8">
      <c r="A225" s="29"/>
      <c r="B225" s="46"/>
      <c r="C225" s="74"/>
      <c r="D225" s="74"/>
      <c r="F225" s="69" t="s">
        <v>13</v>
      </c>
      <c r="G225" s="27">
        <f>ROUNDUP(G224,0)</f>
        <v>90</v>
      </c>
      <c r="H225" s="28" t="s">
        <v>17</v>
      </c>
    </row>
  </sheetData>
  <pageMargins left="0.7" right="0.7" top="0.75" bottom="0.75" header="0.3" footer="0.3"/>
  <ignoredErrors>
    <ignoredError sqref="D10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2"/>
  <sheetViews>
    <sheetView topLeftCell="A142" workbookViewId="0">
      <selection activeCell="A157" sqref="A157:H163"/>
    </sheetView>
  </sheetViews>
  <sheetFormatPr defaultColWidth="9.109375" defaultRowHeight="13.2"/>
  <cols>
    <col min="1" max="1" width="5.6640625" style="102" customWidth="1"/>
    <col min="2" max="2" width="32.33203125" style="31" customWidth="1"/>
    <col min="3" max="3" width="6.6640625" style="57" customWidth="1"/>
    <col min="4" max="6" width="9.109375" style="57"/>
    <col min="7" max="7" width="9.109375" style="31"/>
    <col min="8" max="8" width="6" style="57" customWidth="1"/>
    <col min="9" max="16384" width="9.109375" style="31"/>
  </cols>
  <sheetData>
    <row r="1" spans="1:9" ht="13.8">
      <c r="B1" s="15" t="s">
        <v>336</v>
      </c>
    </row>
    <row r="2" spans="1:9" ht="13.8">
      <c r="B2" s="15"/>
    </row>
    <row r="3" spans="1:9" ht="13.8">
      <c r="A3" s="93" t="s">
        <v>0</v>
      </c>
      <c r="B3" s="78" t="s">
        <v>1</v>
      </c>
      <c r="C3" s="78" t="s">
        <v>2</v>
      </c>
      <c r="D3" s="78" t="s">
        <v>3</v>
      </c>
      <c r="E3" s="78" t="s">
        <v>4</v>
      </c>
      <c r="F3" s="78" t="s">
        <v>5</v>
      </c>
      <c r="G3" s="78" t="s">
        <v>6</v>
      </c>
      <c r="H3" s="78" t="s">
        <v>7</v>
      </c>
      <c r="I3" s="9"/>
    </row>
    <row r="4" spans="1:9" ht="13.8">
      <c r="A4" s="90"/>
      <c r="B4" s="24"/>
      <c r="C4" s="24"/>
      <c r="D4" s="24"/>
      <c r="E4" s="24"/>
      <c r="F4" s="24"/>
      <c r="G4" s="24"/>
      <c r="H4" s="24"/>
      <c r="I4" s="9"/>
    </row>
    <row r="5" spans="1:9" ht="13.8">
      <c r="A5" s="29">
        <v>1</v>
      </c>
      <c r="B5" s="13" t="s">
        <v>337</v>
      </c>
      <c r="C5" s="1">
        <v>4</v>
      </c>
      <c r="D5" s="5">
        <v>1.35</v>
      </c>
      <c r="E5" s="5">
        <v>1.35</v>
      </c>
      <c r="F5" s="5">
        <v>1.5</v>
      </c>
      <c r="G5" s="4">
        <f>C5*D5*E5*F5</f>
        <v>10.935000000000002</v>
      </c>
      <c r="H5" s="1" t="s">
        <v>12</v>
      </c>
      <c r="I5" s="9"/>
    </row>
    <row r="6" spans="1:9" ht="13.8">
      <c r="A6" s="46"/>
      <c r="B6" s="8"/>
      <c r="C6" s="1"/>
      <c r="D6" s="1"/>
      <c r="E6" s="1"/>
      <c r="F6" s="56" t="s">
        <v>13</v>
      </c>
      <c r="G6" s="27">
        <f>ROUNDUP(G5,0)</f>
        <v>11</v>
      </c>
      <c r="H6" s="28" t="s">
        <v>9</v>
      </c>
      <c r="I6" s="9"/>
    </row>
    <row r="7" spans="1:9" ht="13.8">
      <c r="A7" s="46"/>
      <c r="B7" s="9"/>
      <c r="I7" s="9"/>
    </row>
    <row r="8" spans="1:9" ht="13.8">
      <c r="A8" s="29"/>
      <c r="B8" s="8" t="s">
        <v>14</v>
      </c>
      <c r="C8" s="1"/>
      <c r="D8" s="1"/>
      <c r="E8" s="1"/>
      <c r="F8" s="1"/>
      <c r="G8" s="1"/>
      <c r="H8" s="1"/>
    </row>
    <row r="9" spans="1:9" ht="13.8">
      <c r="A9" s="29"/>
      <c r="B9" s="46" t="s">
        <v>338</v>
      </c>
      <c r="C9" s="1">
        <v>1</v>
      </c>
      <c r="D9" s="5">
        <v>3</v>
      </c>
      <c r="E9" s="5">
        <v>6.2450000000000001</v>
      </c>
      <c r="F9" s="5">
        <v>0.3</v>
      </c>
      <c r="G9" s="4">
        <f>C9*D9*E9*F9</f>
        <v>5.6204999999999998</v>
      </c>
      <c r="H9" s="1" t="s">
        <v>12</v>
      </c>
    </row>
    <row r="10" spans="1:9" ht="13.8">
      <c r="A10" s="29"/>
      <c r="B10" s="46" t="s">
        <v>339</v>
      </c>
      <c r="C10" s="1"/>
      <c r="D10" s="5"/>
      <c r="E10" s="5"/>
      <c r="F10" s="5"/>
      <c r="G10" s="4">
        <f>G5*0.7</f>
        <v>7.6545000000000014</v>
      </c>
      <c r="H10" s="1" t="s">
        <v>10</v>
      </c>
    </row>
    <row r="11" spans="1:9" ht="13.8">
      <c r="A11" s="29"/>
      <c r="B11" s="46"/>
      <c r="C11" s="1"/>
      <c r="D11" s="1"/>
      <c r="E11" s="1"/>
      <c r="F11" s="1"/>
      <c r="G11" s="2"/>
      <c r="H11" s="1"/>
    </row>
    <row r="12" spans="1:9" ht="13.8">
      <c r="A12" s="29"/>
      <c r="B12" s="46"/>
      <c r="C12" s="1"/>
      <c r="D12" s="1"/>
      <c r="E12" s="1"/>
      <c r="F12" s="34" t="s">
        <v>11</v>
      </c>
      <c r="G12" s="53">
        <f>SUM(G9:G11)</f>
        <v>13.275000000000002</v>
      </c>
      <c r="H12" s="50" t="s">
        <v>12</v>
      </c>
    </row>
    <row r="13" spans="1:9" ht="13.8">
      <c r="A13" s="29"/>
      <c r="B13" s="44"/>
      <c r="C13" s="1"/>
      <c r="D13" s="1"/>
      <c r="E13" s="1"/>
      <c r="F13" s="56" t="s">
        <v>13</v>
      </c>
      <c r="G13" s="64">
        <f>ROUNDUP(G12,0)</f>
        <v>14</v>
      </c>
      <c r="H13" s="28" t="s">
        <v>9</v>
      </c>
    </row>
    <row r="14" spans="1:9" ht="13.8">
      <c r="A14" s="29"/>
      <c r="B14" s="44"/>
      <c r="C14" s="1"/>
      <c r="D14" s="1"/>
      <c r="E14" s="1"/>
      <c r="F14" s="1"/>
      <c r="G14" s="72"/>
      <c r="H14" s="24"/>
    </row>
    <row r="15" spans="1:9" ht="13.8">
      <c r="A15" s="29">
        <f>A5+1</f>
        <v>2</v>
      </c>
      <c r="B15" s="103" t="s">
        <v>340</v>
      </c>
      <c r="F15" s="1"/>
      <c r="G15" s="72">
        <f>G6</f>
        <v>11</v>
      </c>
      <c r="H15" s="24" t="s">
        <v>9</v>
      </c>
    </row>
    <row r="16" spans="1:9" ht="13.8">
      <c r="A16" s="29"/>
      <c r="B16" s="44"/>
      <c r="C16" s="1"/>
      <c r="D16" s="1"/>
      <c r="E16" s="1"/>
      <c r="F16" s="1"/>
      <c r="G16" s="72"/>
      <c r="H16" s="24"/>
    </row>
    <row r="17" spans="1:9" ht="13.8">
      <c r="A17" s="29">
        <f>A15+1</f>
        <v>3</v>
      </c>
      <c r="B17" s="103" t="s">
        <v>341</v>
      </c>
      <c r="F17" s="1"/>
      <c r="G17" s="72">
        <f>G13-G15</f>
        <v>3</v>
      </c>
      <c r="H17" s="24" t="s">
        <v>9</v>
      </c>
    </row>
    <row r="18" spans="1:9" ht="13.8">
      <c r="A18" s="29"/>
      <c r="B18" s="103"/>
      <c r="F18" s="1"/>
      <c r="G18" s="72"/>
      <c r="H18" s="24"/>
    </row>
    <row r="19" spans="1:9" ht="13.8">
      <c r="A19" s="29">
        <f>A17+1</f>
        <v>4</v>
      </c>
      <c r="B19" s="9" t="s">
        <v>37</v>
      </c>
      <c r="C19" s="1"/>
      <c r="D19" s="5"/>
      <c r="E19" s="5"/>
      <c r="F19" s="5"/>
      <c r="G19" s="4"/>
      <c r="H19" s="1"/>
      <c r="I19" s="9"/>
    </row>
    <row r="20" spans="1:9" ht="13.8">
      <c r="A20" s="29"/>
      <c r="B20" s="46" t="s">
        <v>342</v>
      </c>
      <c r="C20" s="1">
        <v>4</v>
      </c>
      <c r="D20" s="5">
        <v>1.8</v>
      </c>
      <c r="E20" s="5">
        <v>1.8</v>
      </c>
      <c r="F20" s="5">
        <v>0.15</v>
      </c>
      <c r="G20" s="4">
        <f>C20*D20*E20*F20</f>
        <v>1.944</v>
      </c>
      <c r="H20" s="1" t="s">
        <v>12</v>
      </c>
      <c r="I20" s="9"/>
    </row>
    <row r="21" spans="1:9" ht="13.8">
      <c r="A21" s="29"/>
      <c r="B21" s="46" t="s">
        <v>343</v>
      </c>
      <c r="C21" s="1">
        <v>1</v>
      </c>
      <c r="D21" s="5">
        <v>3</v>
      </c>
      <c r="E21" s="5">
        <v>6.25</v>
      </c>
      <c r="F21" s="5">
        <v>0.1</v>
      </c>
      <c r="G21" s="4">
        <f>C21*D21*E21*F21</f>
        <v>1.875</v>
      </c>
      <c r="H21" s="1" t="s">
        <v>10</v>
      </c>
      <c r="I21" s="9"/>
    </row>
    <row r="22" spans="1:9" ht="13.8">
      <c r="A22" s="29"/>
      <c r="B22" s="46"/>
      <c r="C22" s="1"/>
      <c r="D22" s="5"/>
      <c r="E22" s="5"/>
      <c r="F22" s="5"/>
      <c r="G22" s="4"/>
      <c r="H22" s="1"/>
      <c r="I22" s="9"/>
    </row>
    <row r="23" spans="1:9" ht="13.8">
      <c r="A23" s="29"/>
      <c r="B23" s="8"/>
      <c r="C23" s="1"/>
      <c r="D23" s="1"/>
      <c r="F23" s="34" t="s">
        <v>11</v>
      </c>
      <c r="G23" s="53">
        <f>SUM(G20:G22)</f>
        <v>3.819</v>
      </c>
      <c r="H23" s="50" t="s">
        <v>12</v>
      </c>
    </row>
    <row r="24" spans="1:9" ht="13.8">
      <c r="A24" s="29"/>
      <c r="B24" s="8"/>
      <c r="C24" s="1"/>
      <c r="D24" s="1"/>
      <c r="E24" s="1"/>
      <c r="F24" s="56" t="s">
        <v>13</v>
      </c>
      <c r="G24" s="64">
        <f>ROUNDUP(G23,0)</f>
        <v>4</v>
      </c>
      <c r="H24" s="28" t="s">
        <v>9</v>
      </c>
      <c r="I24" s="9"/>
    </row>
    <row r="25" spans="1:9" ht="13.8">
      <c r="A25" s="29"/>
      <c r="B25" s="8"/>
      <c r="C25" s="1"/>
      <c r="D25" s="1"/>
      <c r="E25" s="1"/>
      <c r="F25" s="1"/>
      <c r="G25" s="33"/>
      <c r="H25" s="24"/>
      <c r="I25" s="9"/>
    </row>
    <row r="26" spans="1:9" ht="13.8">
      <c r="A26" s="29">
        <f>A19+1</f>
        <v>5</v>
      </c>
      <c r="B26" s="9" t="s">
        <v>38</v>
      </c>
      <c r="C26" s="1"/>
      <c r="D26" s="1"/>
      <c r="E26" s="1"/>
      <c r="F26" s="1"/>
      <c r="G26" s="33"/>
      <c r="H26" s="24"/>
      <c r="I26" s="9"/>
    </row>
    <row r="27" spans="1:9" ht="13.8">
      <c r="A27" s="29"/>
      <c r="B27" s="46" t="s">
        <v>342</v>
      </c>
      <c r="C27" s="1">
        <v>2</v>
      </c>
      <c r="D27" s="5">
        <v>1.5</v>
      </c>
      <c r="E27" s="5">
        <v>0.23</v>
      </c>
      <c r="F27" s="5">
        <v>7.4999999999999997E-2</v>
      </c>
      <c r="G27" s="4">
        <f>C27*D27*E27*F27</f>
        <v>5.1750000000000004E-2</v>
      </c>
      <c r="H27" s="1" t="s">
        <v>12</v>
      </c>
      <c r="I27" s="9"/>
    </row>
    <row r="28" spans="1:9" ht="13.8">
      <c r="A28" s="29"/>
      <c r="B28" s="46" t="s">
        <v>344</v>
      </c>
      <c r="C28" s="1">
        <v>1</v>
      </c>
      <c r="D28" s="5">
        <v>18</v>
      </c>
      <c r="E28" s="5">
        <v>0.23</v>
      </c>
      <c r="F28" s="5">
        <v>7.4999999999999997E-2</v>
      </c>
      <c r="G28" s="4">
        <f>C28*D28*E28*F28</f>
        <v>0.31050000000000005</v>
      </c>
      <c r="H28" s="1" t="s">
        <v>10</v>
      </c>
      <c r="I28" s="9"/>
    </row>
    <row r="29" spans="1:9" ht="13.8">
      <c r="A29" s="29"/>
      <c r="B29" s="9"/>
      <c r="C29" s="1"/>
      <c r="D29" s="5"/>
      <c r="E29" s="5"/>
      <c r="F29" s="5"/>
      <c r="G29" s="4"/>
      <c r="H29" s="1"/>
      <c r="I29" s="9"/>
    </row>
    <row r="30" spans="1:9" ht="13.8">
      <c r="A30" s="29"/>
      <c r="B30" s="9"/>
      <c r="C30" s="1"/>
      <c r="D30" s="1"/>
      <c r="E30" s="1"/>
      <c r="F30" s="34" t="s">
        <v>11</v>
      </c>
      <c r="G30" s="53">
        <f>SUM(G27:G29)</f>
        <v>0.36225000000000007</v>
      </c>
      <c r="H30" s="50" t="s">
        <v>12</v>
      </c>
    </row>
    <row r="31" spans="1:9" ht="13.8">
      <c r="A31" s="29"/>
      <c r="B31" s="9"/>
      <c r="C31" s="1"/>
      <c r="D31" s="1"/>
      <c r="E31" s="1"/>
      <c r="F31" s="56" t="s">
        <v>13</v>
      </c>
      <c r="G31" s="64">
        <f>ROUNDUP(G30,0)</f>
        <v>1</v>
      </c>
      <c r="H31" s="28" t="s">
        <v>9</v>
      </c>
      <c r="I31" s="9"/>
    </row>
    <row r="32" spans="1:9" ht="13.8">
      <c r="A32" s="29"/>
      <c r="B32" s="9"/>
      <c r="C32" s="1"/>
      <c r="D32" s="1"/>
      <c r="E32" s="1"/>
      <c r="F32" s="1"/>
      <c r="G32" s="72"/>
      <c r="H32" s="24"/>
      <c r="I32" s="9"/>
    </row>
    <row r="33" spans="1:9" ht="13.8">
      <c r="B33" s="51" t="s">
        <v>413</v>
      </c>
      <c r="C33" s="1"/>
      <c r="D33" s="5"/>
      <c r="E33" s="5"/>
      <c r="F33" s="5"/>
      <c r="G33" s="4"/>
      <c r="H33" s="1"/>
      <c r="I33" s="9"/>
    </row>
    <row r="34" spans="1:9" ht="13.8">
      <c r="A34" s="29">
        <f>A26+1</f>
        <v>6</v>
      </c>
      <c r="B34" s="8" t="s">
        <v>79</v>
      </c>
      <c r="C34" s="1">
        <v>4</v>
      </c>
      <c r="D34" s="5">
        <v>1.35</v>
      </c>
      <c r="E34" s="5">
        <v>1.35</v>
      </c>
      <c r="F34" s="5">
        <v>0.45</v>
      </c>
      <c r="G34" s="4">
        <f>C34*D34*E34*F34</f>
        <v>3.2805000000000004</v>
      </c>
      <c r="H34" s="1" t="s">
        <v>12</v>
      </c>
      <c r="I34" s="9"/>
    </row>
    <row r="35" spans="1:9" ht="13.8">
      <c r="C35" s="1"/>
      <c r="D35" s="1"/>
      <c r="E35" s="1"/>
      <c r="F35" s="56" t="s">
        <v>13</v>
      </c>
      <c r="G35" s="27">
        <f>ROUNDUP(G34,0)</f>
        <v>4</v>
      </c>
      <c r="H35" s="28" t="s">
        <v>9</v>
      </c>
      <c r="I35" s="9"/>
    </row>
    <row r="36" spans="1:9" ht="13.8">
      <c r="A36" s="46"/>
      <c r="B36" s="9"/>
      <c r="C36" s="1"/>
      <c r="D36" s="1"/>
      <c r="E36" s="1"/>
      <c r="F36" s="1"/>
      <c r="G36" s="33"/>
      <c r="H36" s="24"/>
      <c r="I36" s="9"/>
    </row>
    <row r="37" spans="1:9" ht="13.8">
      <c r="A37" s="29">
        <f>A34+1</f>
        <v>7</v>
      </c>
      <c r="B37" s="9" t="s">
        <v>48</v>
      </c>
      <c r="C37" s="1">
        <v>4</v>
      </c>
      <c r="D37" s="5">
        <v>0.23</v>
      </c>
      <c r="E37" s="5">
        <v>0.45</v>
      </c>
      <c r="F37" s="5">
        <v>3.5</v>
      </c>
      <c r="G37" s="4">
        <f>C37*D37*E37*F37</f>
        <v>1.4490000000000001</v>
      </c>
      <c r="H37" s="1" t="s">
        <v>12</v>
      </c>
      <c r="I37" s="9"/>
    </row>
    <row r="38" spans="1:9" ht="13.8">
      <c r="A38" s="29"/>
      <c r="B38" s="46"/>
      <c r="C38" s="1"/>
      <c r="D38" s="1"/>
      <c r="E38" s="1"/>
      <c r="F38" s="56" t="s">
        <v>13</v>
      </c>
      <c r="G38" s="27">
        <f>ROUNDUP(G37,0)</f>
        <v>2</v>
      </c>
      <c r="H38" s="28" t="s">
        <v>9</v>
      </c>
      <c r="I38" s="9"/>
    </row>
    <row r="39" spans="1:9" ht="13.8">
      <c r="A39" s="29"/>
      <c r="B39" s="9"/>
      <c r="I39" s="9"/>
    </row>
    <row r="40" spans="1:9" ht="13.8">
      <c r="A40" s="29">
        <f>A37+1</f>
        <v>8</v>
      </c>
      <c r="B40" s="9" t="s">
        <v>39</v>
      </c>
      <c r="C40" s="1"/>
      <c r="D40" s="5"/>
      <c r="E40" s="5"/>
      <c r="F40" s="5"/>
      <c r="G40" s="4"/>
      <c r="H40" s="1"/>
      <c r="I40" s="9"/>
    </row>
    <row r="41" spans="1:9" ht="13.8">
      <c r="A41" s="29"/>
      <c r="B41" s="46" t="s">
        <v>345</v>
      </c>
      <c r="C41" s="1">
        <v>2</v>
      </c>
      <c r="D41" s="5">
        <v>6.25</v>
      </c>
      <c r="E41" s="5">
        <v>0.23</v>
      </c>
      <c r="F41" s="5">
        <v>0.45</v>
      </c>
      <c r="G41" s="4">
        <f>C41*D41*E41*F41</f>
        <v>1.29375</v>
      </c>
      <c r="H41" s="1" t="s">
        <v>9</v>
      </c>
      <c r="I41" s="9"/>
    </row>
    <row r="42" spans="1:9" ht="13.8">
      <c r="A42" s="29"/>
      <c r="B42" s="9"/>
      <c r="C42" s="1">
        <v>3</v>
      </c>
      <c r="D42" s="5">
        <v>3.46</v>
      </c>
      <c r="E42" s="5">
        <v>0.23</v>
      </c>
      <c r="F42" s="5">
        <v>0.45</v>
      </c>
      <c r="G42" s="4">
        <f>C42*D42*E42*F42</f>
        <v>1.07433</v>
      </c>
      <c r="H42" s="1" t="s">
        <v>10</v>
      </c>
      <c r="I42" s="9"/>
    </row>
    <row r="43" spans="1:9" ht="13.8">
      <c r="A43" s="29"/>
      <c r="B43" s="9"/>
      <c r="C43" s="1"/>
      <c r="D43" s="5"/>
      <c r="E43" s="5"/>
      <c r="F43" s="5"/>
      <c r="G43" s="4"/>
      <c r="H43" s="1"/>
      <c r="I43" s="9"/>
    </row>
    <row r="44" spans="1:9" ht="13.8">
      <c r="A44" s="29"/>
      <c r="B44" s="46"/>
      <c r="C44" s="1"/>
      <c r="D44" s="5"/>
      <c r="E44" s="1"/>
      <c r="F44" s="34" t="s">
        <v>11</v>
      </c>
      <c r="G44" s="53">
        <f>SUM(G41:G43)</f>
        <v>2.36808</v>
      </c>
      <c r="H44" s="50" t="s">
        <v>9</v>
      </c>
    </row>
    <row r="45" spans="1:9" ht="13.8">
      <c r="A45" s="29"/>
      <c r="B45" s="46"/>
      <c r="C45" s="1"/>
      <c r="D45" s="5"/>
      <c r="E45" s="1"/>
      <c r="F45" s="56" t="s">
        <v>13</v>
      </c>
      <c r="G45" s="27">
        <f>ROUNDUP(G44,0)</f>
        <v>3</v>
      </c>
      <c r="H45" s="28" t="s">
        <v>9</v>
      </c>
      <c r="I45" s="9"/>
    </row>
    <row r="46" spans="1:9" ht="13.8">
      <c r="A46" s="29"/>
      <c r="B46" s="46"/>
      <c r="C46" s="1"/>
      <c r="D46" s="5"/>
      <c r="E46" s="1"/>
      <c r="F46" s="1"/>
      <c r="G46" s="33"/>
      <c r="H46" s="24"/>
      <c r="I46" s="9"/>
    </row>
    <row r="47" spans="1:9" ht="13.8">
      <c r="A47" s="29">
        <f>A40+1</f>
        <v>9</v>
      </c>
      <c r="B47" s="9" t="s">
        <v>346</v>
      </c>
      <c r="C47" s="1">
        <v>2</v>
      </c>
      <c r="D47" s="5">
        <v>6.25</v>
      </c>
      <c r="E47" s="5">
        <v>0.23</v>
      </c>
      <c r="F47" s="5">
        <v>0.45</v>
      </c>
      <c r="G47" s="4">
        <f>C47*D47*E47*F47</f>
        <v>1.29375</v>
      </c>
      <c r="H47" s="1" t="s">
        <v>9</v>
      </c>
      <c r="I47" s="9"/>
    </row>
    <row r="48" spans="1:9" ht="13.8">
      <c r="A48" s="29"/>
      <c r="B48" s="46"/>
      <c r="C48" s="1">
        <v>3</v>
      </c>
      <c r="D48" s="5">
        <v>3.46</v>
      </c>
      <c r="E48" s="5">
        <v>0.23</v>
      </c>
      <c r="F48" s="5">
        <v>0.45</v>
      </c>
      <c r="G48" s="4">
        <f>C48*D48*E48*F48</f>
        <v>1.07433</v>
      </c>
      <c r="H48" s="1" t="s">
        <v>10</v>
      </c>
      <c r="I48" s="9"/>
    </row>
    <row r="49" spans="1:15" ht="13.8">
      <c r="A49" s="29"/>
      <c r="B49" s="9"/>
      <c r="C49" s="1"/>
      <c r="D49" s="5"/>
      <c r="E49" s="5"/>
      <c r="F49" s="5"/>
      <c r="G49" s="4"/>
      <c r="H49" s="1"/>
      <c r="I49" s="9"/>
    </row>
    <row r="50" spans="1:15" ht="13.8">
      <c r="A50" s="29"/>
      <c r="B50" s="9"/>
      <c r="C50" s="1"/>
      <c r="D50" s="5"/>
      <c r="E50" s="1"/>
      <c r="F50" s="34" t="s">
        <v>11</v>
      </c>
      <c r="G50" s="53">
        <f>SUM(G47:G49)</f>
        <v>2.36808</v>
      </c>
      <c r="H50" s="50" t="s">
        <v>9</v>
      </c>
      <c r="I50" s="9"/>
    </row>
    <row r="51" spans="1:15" ht="13.8">
      <c r="A51" s="29"/>
      <c r="B51" s="46"/>
      <c r="C51" s="1"/>
      <c r="D51" s="5"/>
      <c r="E51" s="1"/>
      <c r="F51" s="56" t="s">
        <v>13</v>
      </c>
      <c r="G51" s="27">
        <f>ROUNDUP(G50,0)</f>
        <v>3</v>
      </c>
      <c r="H51" s="28" t="s">
        <v>9</v>
      </c>
      <c r="I51" s="9"/>
    </row>
    <row r="52" spans="1:15" ht="13.8">
      <c r="A52" s="29"/>
      <c r="B52" s="46"/>
      <c r="C52" s="1"/>
      <c r="D52" s="5"/>
      <c r="E52" s="1"/>
      <c r="F52" s="1"/>
      <c r="G52" s="33"/>
      <c r="H52" s="24"/>
      <c r="I52" s="9"/>
    </row>
    <row r="53" spans="1:15" ht="13.8">
      <c r="A53" s="29">
        <f>A47+1</f>
        <v>10</v>
      </c>
      <c r="B53" s="9" t="s">
        <v>81</v>
      </c>
      <c r="C53" s="1">
        <v>1</v>
      </c>
      <c r="D53" s="5">
        <v>3.92</v>
      </c>
      <c r="E53" s="5">
        <v>7.2</v>
      </c>
      <c r="F53" s="1">
        <v>0.15</v>
      </c>
      <c r="G53" s="4">
        <f>C53*D53*E53*F53</f>
        <v>4.2336</v>
      </c>
      <c r="H53" s="1" t="s">
        <v>12</v>
      </c>
      <c r="I53" s="9"/>
    </row>
    <row r="54" spans="1:15" ht="13.8">
      <c r="A54" s="29"/>
      <c r="B54" s="46"/>
      <c r="C54" s="1"/>
      <c r="D54" s="5"/>
      <c r="E54" s="1"/>
      <c r="F54" s="56" t="s">
        <v>13</v>
      </c>
      <c r="G54" s="27">
        <f>ROUNDUP(G53,0)</f>
        <v>5</v>
      </c>
      <c r="H54" s="28" t="s">
        <v>9</v>
      </c>
      <c r="I54" s="9"/>
    </row>
    <row r="55" spans="1:15" ht="13.8">
      <c r="A55" s="29"/>
      <c r="B55" s="46"/>
      <c r="C55" s="31"/>
      <c r="D55" s="31"/>
      <c r="E55" s="31"/>
      <c r="F55" s="31"/>
      <c r="H55" s="31"/>
      <c r="I55" s="9"/>
    </row>
    <row r="56" spans="1:15" ht="13.8">
      <c r="A56" s="29"/>
      <c r="B56" s="20" t="s">
        <v>123</v>
      </c>
      <c r="C56" s="1"/>
      <c r="D56" s="1"/>
      <c r="E56" s="1"/>
      <c r="F56" s="1"/>
      <c r="G56" s="33"/>
      <c r="H56" s="24"/>
      <c r="I56" s="9"/>
      <c r="J56" s="1"/>
      <c r="K56" s="5"/>
      <c r="L56" s="5"/>
      <c r="M56" s="5"/>
      <c r="N56" s="4"/>
      <c r="O56" s="1"/>
    </row>
    <row r="57" spans="1:15" ht="13.8">
      <c r="A57" s="29">
        <f>A53+1</f>
        <v>11</v>
      </c>
      <c r="B57" s="8" t="s">
        <v>79</v>
      </c>
      <c r="C57" s="1"/>
      <c r="D57" s="5"/>
      <c r="E57" s="1"/>
      <c r="F57" s="1"/>
      <c r="G57" s="33"/>
      <c r="H57" s="1"/>
      <c r="I57" s="9"/>
      <c r="J57" s="1"/>
      <c r="K57" s="5"/>
      <c r="L57" s="5"/>
      <c r="M57" s="5"/>
      <c r="N57" s="4"/>
      <c r="O57" s="1"/>
    </row>
    <row r="58" spans="1:15" ht="13.8">
      <c r="A58" s="29"/>
      <c r="B58" s="46"/>
      <c r="C58" s="1">
        <v>4</v>
      </c>
      <c r="D58" s="5">
        <f>4*1.35</f>
        <v>5.4</v>
      </c>
      <c r="E58" s="5"/>
      <c r="F58" s="5">
        <v>0.45</v>
      </c>
      <c r="G58" s="4">
        <f>C58*D58*F58</f>
        <v>9.7200000000000006</v>
      </c>
      <c r="H58" s="1" t="s">
        <v>47</v>
      </c>
      <c r="I58" s="9"/>
      <c r="J58" s="1"/>
      <c r="K58" s="5"/>
      <c r="L58" s="5"/>
      <c r="M58" s="5"/>
      <c r="N58" s="4"/>
      <c r="O58" s="1"/>
    </row>
    <row r="59" spans="1:15" ht="13.8">
      <c r="A59" s="29"/>
      <c r="B59" s="46"/>
      <c r="C59" s="1"/>
      <c r="D59" s="1"/>
      <c r="E59" s="1"/>
      <c r="F59" s="56" t="s">
        <v>13</v>
      </c>
      <c r="G59" s="27">
        <f>ROUNDUP(G58,0)</f>
        <v>10</v>
      </c>
      <c r="H59" s="28" t="s">
        <v>47</v>
      </c>
      <c r="I59" s="9"/>
      <c r="J59" s="1"/>
      <c r="K59" s="5"/>
      <c r="L59" s="5"/>
      <c r="M59" s="5"/>
      <c r="N59" s="4"/>
      <c r="O59" s="1"/>
    </row>
    <row r="60" spans="1:15" ht="13.8">
      <c r="A60" s="29"/>
      <c r="B60" s="46"/>
      <c r="C60" s="1"/>
      <c r="D60" s="1"/>
      <c r="E60" s="1"/>
      <c r="F60" s="1"/>
      <c r="G60" s="33"/>
      <c r="H60" s="24"/>
      <c r="I60" s="9"/>
      <c r="J60" s="1"/>
      <c r="K60" s="5"/>
      <c r="L60" s="5"/>
      <c r="M60" s="5"/>
      <c r="N60" s="4"/>
      <c r="O60" s="1"/>
    </row>
    <row r="61" spans="1:15" ht="13.8">
      <c r="A61" s="29">
        <f>A57+1</f>
        <v>12</v>
      </c>
      <c r="B61" s="9" t="s">
        <v>8</v>
      </c>
      <c r="C61" s="1"/>
      <c r="D61" s="5"/>
      <c r="E61" s="1"/>
      <c r="F61" s="1"/>
      <c r="G61" s="33"/>
      <c r="H61" s="1"/>
      <c r="I61" s="9"/>
      <c r="J61" s="46"/>
      <c r="K61" s="1"/>
      <c r="L61" s="5"/>
      <c r="M61" s="5"/>
      <c r="N61" s="5"/>
    </row>
    <row r="62" spans="1:15" ht="13.8">
      <c r="A62" s="29"/>
      <c r="B62" s="46"/>
      <c r="C62" s="1">
        <v>4</v>
      </c>
      <c r="D62" s="5">
        <f>0.23+0.23+0.45+0.45</f>
        <v>1.36</v>
      </c>
      <c r="E62" s="5"/>
      <c r="F62" s="5">
        <v>3.5</v>
      </c>
      <c r="G62" s="4">
        <f>C62*D62*F62</f>
        <v>19.040000000000003</v>
      </c>
      <c r="H62" s="1" t="s">
        <v>47</v>
      </c>
      <c r="I62" s="9"/>
      <c r="J62" s="46"/>
      <c r="K62" s="1"/>
      <c r="L62" s="5"/>
      <c r="M62" s="5"/>
      <c r="N62" s="5"/>
    </row>
    <row r="63" spans="1:15" ht="13.8">
      <c r="A63" s="29"/>
      <c r="B63" s="46"/>
      <c r="C63" s="1"/>
      <c r="D63" s="1"/>
      <c r="E63" s="1"/>
      <c r="F63" s="56" t="s">
        <v>13</v>
      </c>
      <c r="G63" s="27">
        <f>ROUNDUP(G62,0)</f>
        <v>20</v>
      </c>
      <c r="H63" s="28" t="s">
        <v>47</v>
      </c>
      <c r="I63" s="9"/>
    </row>
    <row r="64" spans="1:15" ht="13.8">
      <c r="A64" s="29"/>
      <c r="B64" s="46"/>
      <c r="C64" s="1"/>
      <c r="D64" s="5"/>
      <c r="E64" s="1"/>
      <c r="F64" s="1"/>
      <c r="G64" s="33"/>
      <c r="H64" s="24"/>
      <c r="I64" s="9"/>
    </row>
    <row r="65" spans="1:15" ht="13.8">
      <c r="A65" s="29">
        <f>A61+1</f>
        <v>13</v>
      </c>
      <c r="B65" s="9" t="s">
        <v>39</v>
      </c>
      <c r="C65" s="1"/>
      <c r="D65" s="5"/>
      <c r="E65" s="1"/>
      <c r="F65" s="1"/>
      <c r="G65" s="33"/>
      <c r="H65" s="24"/>
      <c r="I65" s="9"/>
      <c r="K65" s="9"/>
      <c r="L65" s="1"/>
      <c r="M65" s="5"/>
      <c r="N65" s="5"/>
      <c r="O65" s="5"/>
    </row>
    <row r="66" spans="1:15" ht="13.8">
      <c r="A66" s="29"/>
      <c r="B66" s="46" t="s">
        <v>345</v>
      </c>
      <c r="C66" s="1">
        <v>2</v>
      </c>
      <c r="D66" s="5">
        <v>6.25</v>
      </c>
      <c r="E66" s="5"/>
      <c r="F66" s="5">
        <f>0.23+0.45+0.45</f>
        <v>1.1300000000000001</v>
      </c>
      <c r="G66" s="4">
        <f>C66*D66*F66</f>
        <v>14.125000000000002</v>
      </c>
      <c r="H66" s="1" t="s">
        <v>47</v>
      </c>
      <c r="I66" s="9"/>
      <c r="K66" s="46"/>
      <c r="L66" s="1"/>
      <c r="M66" s="5"/>
      <c r="N66" s="5"/>
      <c r="O66" s="5"/>
    </row>
    <row r="67" spans="1:15" ht="13.8">
      <c r="A67" s="29"/>
      <c r="B67" s="9"/>
      <c r="C67" s="1">
        <v>3</v>
      </c>
      <c r="D67" s="5">
        <v>3.46</v>
      </c>
      <c r="E67" s="5"/>
      <c r="F67" s="5">
        <f>0.23+0.45+0.45</f>
        <v>1.1300000000000001</v>
      </c>
      <c r="G67" s="4">
        <f>C67*D67*F67</f>
        <v>11.7294</v>
      </c>
      <c r="H67" s="1" t="s">
        <v>10</v>
      </c>
      <c r="I67" s="9"/>
      <c r="K67" s="9"/>
      <c r="L67" s="1"/>
      <c r="M67" s="5"/>
      <c r="N67" s="5"/>
      <c r="O67" s="5"/>
    </row>
    <row r="68" spans="1:15" ht="13.8">
      <c r="A68" s="29"/>
      <c r="B68" s="9"/>
      <c r="C68" s="1"/>
      <c r="D68" s="5"/>
      <c r="E68" s="5"/>
      <c r="F68" s="5"/>
      <c r="G68" s="4"/>
      <c r="H68" s="1"/>
      <c r="I68" s="9"/>
      <c r="K68" s="9"/>
      <c r="L68" s="1"/>
      <c r="M68" s="5"/>
      <c r="N68" s="5"/>
      <c r="O68" s="5"/>
    </row>
    <row r="69" spans="1:15" ht="13.8">
      <c r="A69" s="29"/>
      <c r="B69" s="46"/>
      <c r="C69" s="1"/>
      <c r="D69" s="5"/>
      <c r="E69" s="1"/>
      <c r="F69" s="34" t="s">
        <v>11</v>
      </c>
      <c r="G69" s="53">
        <f>SUM(G66:G68)</f>
        <v>25.854400000000002</v>
      </c>
      <c r="H69" s="50" t="s">
        <v>17</v>
      </c>
      <c r="I69" s="9"/>
    </row>
    <row r="70" spans="1:15" ht="13.8">
      <c r="A70" s="29"/>
      <c r="B70" s="46"/>
      <c r="C70" s="1"/>
      <c r="D70" s="5"/>
      <c r="E70" s="1"/>
      <c r="F70" s="56" t="s">
        <v>13</v>
      </c>
      <c r="G70" s="27">
        <f>ROUNDUP(G69,0)</f>
        <v>26</v>
      </c>
      <c r="H70" s="28" t="s">
        <v>47</v>
      </c>
      <c r="I70" s="9"/>
    </row>
    <row r="71" spans="1:15" ht="13.8">
      <c r="A71" s="29"/>
      <c r="B71" s="46"/>
      <c r="C71" s="1"/>
      <c r="D71" s="5"/>
      <c r="E71" s="1"/>
      <c r="F71" s="1"/>
      <c r="G71" s="33"/>
      <c r="H71" s="24"/>
      <c r="I71" s="9"/>
    </row>
    <row r="72" spans="1:15" ht="13.8">
      <c r="A72" s="29">
        <f>A65+1</f>
        <v>14</v>
      </c>
      <c r="B72" s="9" t="s">
        <v>346</v>
      </c>
      <c r="C72" s="1"/>
      <c r="D72" s="5"/>
      <c r="E72" s="1"/>
      <c r="F72" s="1"/>
      <c r="G72" s="33"/>
      <c r="H72" s="24"/>
      <c r="I72" s="9"/>
    </row>
    <row r="73" spans="1:15" ht="13.8">
      <c r="A73" s="29"/>
      <c r="B73" s="46" t="s">
        <v>345</v>
      </c>
      <c r="C73" s="1">
        <v>2</v>
      </c>
      <c r="D73" s="5">
        <v>6.25</v>
      </c>
      <c r="E73" s="5"/>
      <c r="F73" s="5">
        <f>0.23+0.45+0.45</f>
        <v>1.1300000000000001</v>
      </c>
      <c r="G73" s="4">
        <f>C73*D73*F73</f>
        <v>14.125000000000002</v>
      </c>
      <c r="H73" s="1" t="s">
        <v>47</v>
      </c>
      <c r="I73" s="9"/>
    </row>
    <row r="74" spans="1:15" ht="13.8">
      <c r="A74" s="29"/>
      <c r="B74" s="9"/>
      <c r="C74" s="1">
        <v>3</v>
      </c>
      <c r="D74" s="5">
        <v>3.46</v>
      </c>
      <c r="E74" s="5"/>
      <c r="F74" s="5">
        <f>0.23+0.45+0.45</f>
        <v>1.1300000000000001</v>
      </c>
      <c r="G74" s="4">
        <f>C74*D74*F74</f>
        <v>11.7294</v>
      </c>
      <c r="H74" s="1" t="s">
        <v>10</v>
      </c>
      <c r="I74" s="9"/>
    </row>
    <row r="75" spans="1:15" ht="13.8">
      <c r="A75" s="29"/>
      <c r="B75" s="46"/>
      <c r="C75" s="1"/>
      <c r="D75" s="5"/>
      <c r="E75" s="5"/>
      <c r="F75" s="5"/>
      <c r="G75" s="4"/>
      <c r="H75" s="1"/>
      <c r="I75" s="9"/>
    </row>
    <row r="76" spans="1:15" ht="13.8">
      <c r="A76" s="29"/>
      <c r="B76" s="46"/>
      <c r="C76" s="1"/>
      <c r="D76" s="5"/>
      <c r="E76" s="1"/>
      <c r="F76" s="34" t="s">
        <v>11</v>
      </c>
      <c r="G76" s="53">
        <f>SUM(G73:G75)</f>
        <v>25.854400000000002</v>
      </c>
      <c r="H76" s="50" t="s">
        <v>17</v>
      </c>
      <c r="I76" s="9"/>
    </row>
    <row r="77" spans="1:15" ht="13.8">
      <c r="A77" s="29"/>
      <c r="B77" s="46"/>
      <c r="C77" s="1"/>
      <c r="D77" s="5"/>
      <c r="E77" s="1"/>
      <c r="F77" s="56" t="s">
        <v>13</v>
      </c>
      <c r="G77" s="27">
        <f>ROUNDUP(G76,0)</f>
        <v>26</v>
      </c>
      <c r="H77" s="28" t="s">
        <v>47</v>
      </c>
      <c r="I77" s="9"/>
    </row>
    <row r="78" spans="1:15" ht="13.8">
      <c r="A78" s="29"/>
      <c r="B78" s="46"/>
      <c r="C78" s="1"/>
      <c r="D78" s="5"/>
      <c r="E78" s="1"/>
      <c r="F78" s="1"/>
      <c r="G78" s="33"/>
      <c r="H78" s="24"/>
      <c r="I78" s="9"/>
    </row>
    <row r="79" spans="1:15" ht="13.8">
      <c r="A79" s="29">
        <f>A72+1</f>
        <v>15</v>
      </c>
      <c r="B79" s="9" t="s">
        <v>81</v>
      </c>
      <c r="C79" s="1"/>
      <c r="D79" s="5"/>
      <c r="E79" s="1"/>
      <c r="F79" s="1"/>
      <c r="G79" s="33"/>
      <c r="H79" s="24"/>
      <c r="I79" s="9"/>
    </row>
    <row r="80" spans="1:15" ht="13.8">
      <c r="A80" s="29"/>
      <c r="B80" s="46"/>
      <c r="C80" s="1">
        <v>1</v>
      </c>
      <c r="D80" s="5">
        <v>3.92</v>
      </c>
      <c r="E80" s="5">
        <v>7.2</v>
      </c>
      <c r="F80" s="1"/>
      <c r="G80" s="4">
        <f>C80*D80*E80</f>
        <v>28.224</v>
      </c>
      <c r="H80" s="1" t="s">
        <v>47</v>
      </c>
      <c r="I80" s="9"/>
    </row>
    <row r="81" spans="1:9" ht="13.8">
      <c r="A81" s="29"/>
      <c r="B81" s="46"/>
      <c r="C81" s="1"/>
      <c r="D81" s="5"/>
      <c r="E81" s="1"/>
      <c r="F81" s="56" t="s">
        <v>13</v>
      </c>
      <c r="G81" s="27">
        <f>ROUNDUP(G80,0)</f>
        <v>29</v>
      </c>
      <c r="H81" s="28" t="s">
        <v>47</v>
      </c>
      <c r="I81" s="9"/>
    </row>
    <row r="82" spans="1:9" ht="13.8">
      <c r="A82" s="29"/>
      <c r="B82" s="46"/>
      <c r="C82" s="1"/>
      <c r="D82" s="5"/>
      <c r="E82" s="1"/>
      <c r="F82" s="1"/>
      <c r="G82" s="33"/>
      <c r="H82" s="24"/>
      <c r="I82" s="9"/>
    </row>
    <row r="83" spans="1:9" ht="13.8">
      <c r="A83" s="29"/>
      <c r="B83" s="46"/>
      <c r="C83" s="1"/>
      <c r="D83" s="5"/>
      <c r="E83" s="1"/>
      <c r="F83" s="1"/>
      <c r="G83" s="33"/>
      <c r="H83" s="24"/>
      <c r="I83" s="9"/>
    </row>
    <row r="84" spans="1:9" ht="13.8">
      <c r="A84" s="29">
        <f>A79+1</f>
        <v>16</v>
      </c>
      <c r="B84" s="9" t="s">
        <v>347</v>
      </c>
      <c r="C84" s="1"/>
      <c r="D84" s="5"/>
      <c r="E84" s="1"/>
      <c r="F84" s="1"/>
      <c r="G84" s="33"/>
      <c r="H84" s="24"/>
      <c r="I84" s="9"/>
    </row>
    <row r="85" spans="1:9" ht="13.8">
      <c r="A85" s="29"/>
      <c r="B85" s="46"/>
      <c r="C85" s="1">
        <v>2</v>
      </c>
      <c r="D85" s="5">
        <f>3.92+7.2</f>
        <v>11.120000000000001</v>
      </c>
      <c r="F85" s="5">
        <v>0.15</v>
      </c>
      <c r="G85" s="4">
        <f>C85*D85*F85</f>
        <v>3.3360000000000003</v>
      </c>
      <c r="H85" s="1" t="s">
        <v>47</v>
      </c>
      <c r="I85" s="9"/>
    </row>
    <row r="86" spans="1:9" ht="13.8">
      <c r="A86" s="29"/>
      <c r="B86" s="46"/>
      <c r="C86" s="1"/>
      <c r="D86" s="5"/>
      <c r="E86" s="1"/>
      <c r="F86" s="56" t="s">
        <v>13</v>
      </c>
      <c r="G86" s="27">
        <f>ROUNDUP(G85,0)</f>
        <v>4</v>
      </c>
      <c r="H86" s="28" t="s">
        <v>47</v>
      </c>
      <c r="I86" s="9"/>
    </row>
    <row r="87" spans="1:9" ht="13.8">
      <c r="A87" s="29"/>
      <c r="B87" s="46"/>
      <c r="C87" s="1"/>
      <c r="D87" s="5"/>
      <c r="E87" s="1"/>
      <c r="F87" s="1"/>
      <c r="G87" s="33"/>
      <c r="H87" s="24"/>
      <c r="I87" s="9"/>
    </row>
    <row r="88" spans="1:9" ht="13.8">
      <c r="A88" s="29"/>
      <c r="B88" s="46"/>
      <c r="C88" s="1"/>
      <c r="D88" s="5"/>
      <c r="E88" s="1"/>
      <c r="F88" s="1"/>
      <c r="G88" s="33"/>
      <c r="H88" s="24"/>
      <c r="I88" s="9"/>
    </row>
    <row r="89" spans="1:9" ht="13.8">
      <c r="A89" s="29">
        <f>A84+1</f>
        <v>17</v>
      </c>
      <c r="B89" s="9" t="s">
        <v>40</v>
      </c>
      <c r="C89" s="1"/>
      <c r="D89" s="1"/>
      <c r="E89" s="1"/>
      <c r="F89" s="1"/>
      <c r="G89" s="9"/>
      <c r="H89" s="1"/>
      <c r="I89" s="9"/>
    </row>
    <row r="90" spans="1:9" ht="13.8">
      <c r="A90" s="29"/>
      <c r="B90" s="9" t="s">
        <v>414</v>
      </c>
      <c r="C90" s="5">
        <f>G35</f>
        <v>4</v>
      </c>
      <c r="D90" s="1" t="s">
        <v>18</v>
      </c>
      <c r="E90" s="5">
        <v>25</v>
      </c>
      <c r="F90" s="1"/>
      <c r="G90" s="4">
        <f>C90*E90</f>
        <v>100</v>
      </c>
      <c r="H90" s="1" t="s">
        <v>19</v>
      </c>
      <c r="I90" s="9"/>
    </row>
    <row r="91" spans="1:9" ht="13.8">
      <c r="A91" s="29"/>
      <c r="B91" s="9" t="s">
        <v>48</v>
      </c>
      <c r="C91" s="5">
        <f>G38</f>
        <v>2</v>
      </c>
      <c r="D91" s="1" t="s">
        <v>18</v>
      </c>
      <c r="E91" s="5">
        <v>200</v>
      </c>
      <c r="F91" s="1"/>
      <c r="G91" s="4">
        <f>C91*E91</f>
        <v>400</v>
      </c>
      <c r="H91" s="1" t="s">
        <v>10</v>
      </c>
      <c r="I91" s="9"/>
    </row>
    <row r="92" spans="1:9" ht="13.8">
      <c r="A92" s="29"/>
      <c r="B92" s="9" t="s">
        <v>91</v>
      </c>
      <c r="C92" s="5">
        <f>G45</f>
        <v>3</v>
      </c>
      <c r="D92" s="1" t="s">
        <v>18</v>
      </c>
      <c r="E92" s="5">
        <v>150</v>
      </c>
      <c r="F92" s="1"/>
      <c r="G92" s="4">
        <f>C92*E92</f>
        <v>450</v>
      </c>
      <c r="H92" s="1" t="s">
        <v>10</v>
      </c>
      <c r="I92" s="9"/>
    </row>
    <row r="93" spans="1:9" ht="13.8">
      <c r="A93" s="29"/>
      <c r="B93" s="9" t="s">
        <v>58</v>
      </c>
      <c r="C93" s="5">
        <f>G51</f>
        <v>3</v>
      </c>
      <c r="D93" s="1" t="s">
        <v>18</v>
      </c>
      <c r="E93" s="5">
        <v>150</v>
      </c>
      <c r="F93" s="1"/>
      <c r="G93" s="4">
        <f>C93*E93</f>
        <v>450</v>
      </c>
      <c r="H93" s="1" t="s">
        <v>10</v>
      </c>
      <c r="I93" s="9"/>
    </row>
    <row r="94" spans="1:9" ht="13.8">
      <c r="A94" s="29"/>
      <c r="B94" s="9" t="s">
        <v>92</v>
      </c>
      <c r="C94" s="5">
        <f>G54</f>
        <v>5</v>
      </c>
      <c r="D94" s="1" t="s">
        <v>18</v>
      </c>
      <c r="E94" s="5">
        <v>70</v>
      </c>
      <c r="F94" s="1"/>
      <c r="G94" s="4">
        <f>C94*E94</f>
        <v>350</v>
      </c>
      <c r="H94" s="1" t="s">
        <v>10</v>
      </c>
      <c r="I94" s="9"/>
    </row>
    <row r="95" spans="1:9" ht="13.8">
      <c r="A95" s="29"/>
      <c r="B95" s="9"/>
      <c r="C95" s="5"/>
      <c r="D95" s="1"/>
      <c r="E95" s="5"/>
      <c r="F95" s="1"/>
      <c r="G95" s="4"/>
      <c r="H95" s="1"/>
      <c r="I95" s="9"/>
    </row>
    <row r="96" spans="1:9" ht="13.8">
      <c r="A96" s="29"/>
      <c r="B96" s="9"/>
      <c r="C96" s="1"/>
      <c r="D96" s="1"/>
      <c r="E96" s="1"/>
      <c r="F96" s="34" t="s">
        <v>11</v>
      </c>
      <c r="G96" s="53">
        <f>SUM(G90:G95)</f>
        <v>1750</v>
      </c>
      <c r="H96" s="50" t="s">
        <v>19</v>
      </c>
      <c r="I96" s="9"/>
    </row>
    <row r="97" spans="1:9" ht="13.8">
      <c r="A97" s="29"/>
      <c r="B97" s="9"/>
      <c r="C97" s="1"/>
      <c r="D97" s="1"/>
      <c r="E97" s="1"/>
      <c r="F97" s="56" t="s">
        <v>13</v>
      </c>
      <c r="G97" s="27">
        <f>ROUNDUP(G96,0)</f>
        <v>1750</v>
      </c>
      <c r="H97" s="28" t="s">
        <v>19</v>
      </c>
      <c r="I97" s="9"/>
    </row>
    <row r="98" spans="1:9" ht="13.8">
      <c r="A98" s="29"/>
      <c r="B98" s="9"/>
      <c r="C98" s="1"/>
      <c r="D98" s="1"/>
      <c r="E98" s="1"/>
      <c r="F98" s="1"/>
      <c r="G98" s="33"/>
      <c r="H98" s="24"/>
      <c r="I98" s="9"/>
    </row>
    <row r="99" spans="1:9" ht="13.8">
      <c r="A99" s="29">
        <f>A89+1</f>
        <v>18</v>
      </c>
      <c r="B99" s="9" t="s">
        <v>348</v>
      </c>
      <c r="F99" s="1"/>
      <c r="G99" s="33"/>
      <c r="H99" s="24"/>
    </row>
    <row r="100" spans="1:9" ht="13.8">
      <c r="A100" s="29"/>
      <c r="B100" s="15"/>
      <c r="C100" s="1">
        <v>2</v>
      </c>
      <c r="D100" s="5">
        <v>3</v>
      </c>
      <c r="E100" s="5">
        <v>0.23</v>
      </c>
      <c r="F100" s="5">
        <v>2.4500000000000002</v>
      </c>
      <c r="G100" s="4">
        <f>C100*D100*E100*F100</f>
        <v>3.3810000000000007</v>
      </c>
      <c r="H100" s="1" t="s">
        <v>12</v>
      </c>
      <c r="I100" s="9"/>
    </row>
    <row r="101" spans="1:9" ht="13.8">
      <c r="A101" s="29"/>
      <c r="B101" s="46"/>
      <c r="C101" s="1">
        <v>2</v>
      </c>
      <c r="D101" s="5">
        <v>6.25</v>
      </c>
      <c r="E101" s="5">
        <v>0.23</v>
      </c>
      <c r="F101" s="5">
        <v>2.4500000000000002</v>
      </c>
      <c r="G101" s="4">
        <f>C101*D101*E101*F101</f>
        <v>7.0437500000000002</v>
      </c>
      <c r="H101" s="1" t="s">
        <v>10</v>
      </c>
      <c r="I101" s="9"/>
    </row>
    <row r="102" spans="1:9" ht="13.8">
      <c r="A102" s="29"/>
      <c r="B102" s="46"/>
      <c r="C102" s="1">
        <v>2</v>
      </c>
      <c r="D102" s="5">
        <v>1.95</v>
      </c>
      <c r="E102" s="5">
        <v>0.23</v>
      </c>
      <c r="F102" s="5">
        <v>2.4500000000000002</v>
      </c>
      <c r="G102" s="4">
        <f>C102*D102*E102*F102</f>
        <v>2.1976500000000003</v>
      </c>
      <c r="H102" s="1" t="s">
        <v>10</v>
      </c>
      <c r="I102" s="9"/>
    </row>
    <row r="103" spans="1:9" ht="13.8">
      <c r="A103" s="29"/>
      <c r="B103" s="46"/>
      <c r="C103" s="1">
        <v>2</v>
      </c>
      <c r="D103" s="5">
        <f>6.7+3.46</f>
        <v>10.16</v>
      </c>
      <c r="E103" s="5">
        <v>0.23</v>
      </c>
      <c r="F103" s="5">
        <v>0.45</v>
      </c>
      <c r="G103" s="4">
        <f>C103*D103*E103*F103</f>
        <v>2.1031200000000001</v>
      </c>
      <c r="H103" s="1" t="s">
        <v>10</v>
      </c>
      <c r="I103" s="9"/>
    </row>
    <row r="104" spans="1:9" ht="13.8">
      <c r="A104" s="29"/>
      <c r="B104" s="46" t="s">
        <v>349</v>
      </c>
      <c r="C104" s="1">
        <v>2</v>
      </c>
      <c r="D104" s="5">
        <v>1.05</v>
      </c>
      <c r="E104" s="5">
        <v>0.23</v>
      </c>
      <c r="F104" s="5">
        <v>2.4500000000000002</v>
      </c>
      <c r="G104" s="4">
        <f>-C104*D104*E104*F104</f>
        <v>-1.1833500000000001</v>
      </c>
      <c r="H104" s="1" t="s">
        <v>10</v>
      </c>
      <c r="I104" s="9"/>
    </row>
    <row r="105" spans="1:9" ht="13.8">
      <c r="A105" s="29"/>
      <c r="B105" s="46" t="s">
        <v>101</v>
      </c>
      <c r="C105" s="1">
        <v>2</v>
      </c>
      <c r="D105" s="5">
        <v>1.5</v>
      </c>
      <c r="E105" s="5">
        <v>0.23</v>
      </c>
      <c r="F105" s="5">
        <v>1.8</v>
      </c>
      <c r="G105" s="4">
        <f>-C105*D105*E105*F105</f>
        <v>-1.2420000000000002</v>
      </c>
      <c r="H105" s="1" t="s">
        <v>10</v>
      </c>
      <c r="I105" s="9"/>
    </row>
    <row r="106" spans="1:9" ht="13.8">
      <c r="A106" s="29"/>
      <c r="B106" s="46"/>
      <c r="C106" s="1"/>
      <c r="D106" s="5"/>
      <c r="E106" s="5"/>
      <c r="F106" s="5"/>
      <c r="G106" s="4"/>
      <c r="H106" s="1"/>
      <c r="I106" s="9"/>
    </row>
    <row r="107" spans="1:9" ht="13.8">
      <c r="A107" s="29"/>
      <c r="B107" s="9"/>
      <c r="C107" s="1"/>
      <c r="D107" s="1"/>
      <c r="E107" s="5"/>
      <c r="F107" s="34" t="s">
        <v>11</v>
      </c>
      <c r="G107" s="53">
        <f>SUM(G100:G106)</f>
        <v>12.300170000000001</v>
      </c>
      <c r="H107" s="50" t="s">
        <v>9</v>
      </c>
    </row>
    <row r="108" spans="1:9" ht="13.8">
      <c r="A108" s="29"/>
      <c r="B108" s="9"/>
      <c r="C108" s="1"/>
      <c r="D108" s="1"/>
      <c r="E108" s="5"/>
      <c r="F108" s="56" t="s">
        <v>13</v>
      </c>
      <c r="G108" s="27">
        <f>ROUNDUP(G107,0)</f>
        <v>13</v>
      </c>
      <c r="H108" s="28" t="s">
        <v>9</v>
      </c>
      <c r="I108" s="9"/>
    </row>
    <row r="109" spans="1:9" ht="13.8">
      <c r="A109" s="29">
        <f>A99+1</f>
        <v>19</v>
      </c>
      <c r="B109" s="9" t="s">
        <v>350</v>
      </c>
      <c r="C109" s="1"/>
      <c r="D109" s="1"/>
      <c r="E109" s="5"/>
      <c r="F109" s="1"/>
      <c r="G109" s="33"/>
      <c r="H109" s="24"/>
      <c r="I109" s="9"/>
    </row>
    <row r="110" spans="1:9" ht="13.8">
      <c r="A110" s="29"/>
      <c r="B110" s="46" t="s">
        <v>30</v>
      </c>
      <c r="C110" s="1">
        <v>2</v>
      </c>
      <c r="D110" s="5">
        <v>1.05</v>
      </c>
      <c r="E110" s="5"/>
      <c r="F110" s="1">
        <v>2.4500000000000002</v>
      </c>
      <c r="G110" s="4">
        <f>C110*D110*F110</f>
        <v>5.1450000000000005</v>
      </c>
      <c r="H110" s="1" t="s">
        <v>17</v>
      </c>
      <c r="I110" s="9"/>
    </row>
    <row r="111" spans="1:9" ht="13.8">
      <c r="A111" s="29"/>
      <c r="B111" s="9"/>
      <c r="C111" s="1"/>
      <c r="D111" s="1"/>
      <c r="E111" s="5"/>
      <c r="F111" s="56" t="s">
        <v>13</v>
      </c>
      <c r="G111" s="27">
        <f>ROUNDUP(G110,0)</f>
        <v>6</v>
      </c>
      <c r="H111" s="28" t="s">
        <v>17</v>
      </c>
      <c r="I111" s="9"/>
    </row>
    <row r="112" spans="1:9" ht="13.8">
      <c r="A112" s="29"/>
      <c r="B112" s="9"/>
      <c r="C112" s="1"/>
      <c r="D112" s="1"/>
      <c r="E112" s="5"/>
      <c r="F112" s="1"/>
      <c r="G112" s="33"/>
      <c r="H112" s="24"/>
      <c r="I112" s="9"/>
    </row>
    <row r="113" spans="1:9" ht="13.8">
      <c r="A113" s="29">
        <f>A109+1</f>
        <v>20</v>
      </c>
      <c r="B113" s="9" t="s">
        <v>41</v>
      </c>
      <c r="C113" s="1"/>
      <c r="D113" s="1"/>
      <c r="E113" s="5"/>
      <c r="F113" s="1"/>
      <c r="G113" s="33"/>
      <c r="H113" s="24"/>
      <c r="I113" s="9"/>
    </row>
    <row r="114" spans="1:9" ht="13.8">
      <c r="A114" s="29"/>
      <c r="B114" s="46" t="s">
        <v>101</v>
      </c>
      <c r="C114" s="1">
        <v>2</v>
      </c>
      <c r="D114" s="5">
        <v>1.5</v>
      </c>
      <c r="E114" s="5"/>
      <c r="F114" s="5">
        <v>1.2</v>
      </c>
      <c r="G114" s="4">
        <f>C114*D114*F114</f>
        <v>3.5999999999999996</v>
      </c>
      <c r="H114" s="1" t="s">
        <v>17</v>
      </c>
      <c r="I114" s="9"/>
    </row>
    <row r="115" spans="1:9" ht="13.8">
      <c r="A115" s="29"/>
      <c r="B115" s="9"/>
      <c r="C115" s="1"/>
      <c r="D115" s="1"/>
      <c r="E115" s="5"/>
      <c r="F115" s="5" t="s">
        <v>395</v>
      </c>
      <c r="G115" s="4">
        <f>G114*7.5</f>
        <v>26.999999999999996</v>
      </c>
      <c r="H115" s="1" t="s">
        <v>24</v>
      </c>
      <c r="I115" s="9"/>
    </row>
    <row r="116" spans="1:9" ht="13.8">
      <c r="A116" s="29"/>
      <c r="B116" s="9"/>
      <c r="C116" s="1"/>
      <c r="D116" s="1"/>
      <c r="E116" s="5"/>
      <c r="F116" s="56" t="s">
        <v>13</v>
      </c>
      <c r="G116" s="27">
        <f>ROUNDUP(G115,0)</f>
        <v>27</v>
      </c>
      <c r="H116" s="28" t="s">
        <v>24</v>
      </c>
      <c r="I116" s="9"/>
    </row>
    <row r="117" spans="1:9" ht="13.8">
      <c r="A117" s="29"/>
      <c r="B117" s="9"/>
      <c r="C117" s="1"/>
      <c r="D117" s="1"/>
      <c r="E117" s="5"/>
      <c r="F117" s="1"/>
      <c r="G117" s="33"/>
      <c r="H117" s="24"/>
      <c r="I117" s="9"/>
    </row>
    <row r="118" spans="1:9" ht="13.8">
      <c r="A118" s="29">
        <f>A113+1</f>
        <v>21</v>
      </c>
      <c r="B118" s="9" t="s">
        <v>396</v>
      </c>
      <c r="C118" s="1"/>
      <c r="D118" s="5"/>
      <c r="E118" s="5"/>
      <c r="F118" s="5"/>
      <c r="G118" s="4"/>
      <c r="H118" s="1"/>
      <c r="I118" s="9"/>
    </row>
    <row r="119" spans="1:9" ht="13.8">
      <c r="A119" s="29"/>
      <c r="B119" s="46" t="s">
        <v>101</v>
      </c>
      <c r="C119" s="1">
        <v>2</v>
      </c>
      <c r="D119" s="5">
        <v>1.5</v>
      </c>
      <c r="E119" s="5"/>
      <c r="F119" s="5">
        <v>1.2</v>
      </c>
      <c r="G119" s="4">
        <f>C119*D119*F119</f>
        <v>3.5999999999999996</v>
      </c>
      <c r="H119" s="1" t="s">
        <v>17</v>
      </c>
      <c r="I119" s="9"/>
    </row>
    <row r="120" spans="1:9" ht="13.8">
      <c r="A120" s="29"/>
      <c r="B120" s="9"/>
      <c r="C120" s="1"/>
      <c r="D120" s="1"/>
      <c r="E120" s="5"/>
      <c r="F120" s="56" t="s">
        <v>13</v>
      </c>
      <c r="G120" s="27">
        <f>ROUNDUP(G119,0)</f>
        <v>4</v>
      </c>
      <c r="H120" s="28" t="s">
        <v>17</v>
      </c>
      <c r="I120" s="9"/>
    </row>
    <row r="121" spans="1:9" ht="13.8">
      <c r="A121" s="29"/>
      <c r="B121" s="9"/>
      <c r="C121" s="1"/>
      <c r="D121" s="1"/>
      <c r="E121" s="5"/>
      <c r="F121" s="1"/>
      <c r="G121" s="33"/>
      <c r="H121" s="24"/>
      <c r="I121" s="9"/>
    </row>
    <row r="122" spans="1:9" ht="13.8">
      <c r="A122" s="29">
        <f>A118+1</f>
        <v>22</v>
      </c>
      <c r="B122" s="9" t="s">
        <v>397</v>
      </c>
      <c r="C122" s="84">
        <v>0.5</v>
      </c>
      <c r="D122" s="4" t="s">
        <v>399</v>
      </c>
      <c r="E122" s="5"/>
      <c r="F122" s="1"/>
      <c r="G122" s="33"/>
      <c r="H122" s="24"/>
      <c r="I122" s="9"/>
    </row>
    <row r="123" spans="1:9" ht="13.8">
      <c r="A123" s="29"/>
      <c r="B123" s="46"/>
      <c r="C123" s="5">
        <f>G119</f>
        <v>3.5999999999999996</v>
      </c>
      <c r="D123" s="1" t="s">
        <v>400</v>
      </c>
      <c r="E123" s="84">
        <v>0.5</v>
      </c>
      <c r="F123" s="1"/>
      <c r="G123" s="4">
        <f>C123*E123</f>
        <v>1.7999999999999998</v>
      </c>
      <c r="H123" s="1" t="s">
        <v>47</v>
      </c>
      <c r="I123" s="9"/>
    </row>
    <row r="124" spans="1:9" ht="13.8">
      <c r="A124" s="29"/>
      <c r="B124" s="9"/>
      <c r="C124" s="1"/>
      <c r="D124" s="5"/>
      <c r="E124" s="5"/>
      <c r="F124" s="58" t="s">
        <v>13</v>
      </c>
      <c r="G124" s="27">
        <f>ROUNDUP(G123,0)</f>
        <v>2</v>
      </c>
      <c r="H124" s="28" t="s">
        <v>47</v>
      </c>
      <c r="I124" s="9"/>
    </row>
    <row r="125" spans="1:9" ht="13.8">
      <c r="A125" s="29"/>
      <c r="B125" s="9"/>
      <c r="C125" s="1"/>
      <c r="D125" s="1"/>
      <c r="E125" s="5"/>
      <c r="F125" s="1"/>
      <c r="G125" s="33"/>
      <c r="H125" s="24"/>
      <c r="I125" s="9"/>
    </row>
    <row r="126" spans="1:9" ht="13.8">
      <c r="A126" s="29">
        <f>A122+1</f>
        <v>23</v>
      </c>
      <c r="B126" s="9" t="s">
        <v>42</v>
      </c>
      <c r="I126" s="9"/>
    </row>
    <row r="127" spans="1:9" ht="13.8">
      <c r="A127" s="29"/>
      <c r="B127" s="15"/>
      <c r="C127" s="1">
        <v>2</v>
      </c>
      <c r="D127" s="5">
        <v>1.5</v>
      </c>
      <c r="E127" s="5"/>
      <c r="F127" s="5">
        <v>1.2</v>
      </c>
      <c r="G127" s="4">
        <f>C127*D127*F127</f>
        <v>3.5999999999999996</v>
      </c>
      <c r="H127" s="1" t="s">
        <v>17</v>
      </c>
      <c r="I127" s="9"/>
    </row>
    <row r="128" spans="1:9" ht="13.8">
      <c r="A128" s="29"/>
      <c r="B128" s="15"/>
      <c r="C128" s="1"/>
      <c r="D128" s="5"/>
      <c r="F128" s="5" t="s">
        <v>27</v>
      </c>
      <c r="G128" s="4">
        <f>G127*21</f>
        <v>75.599999999999994</v>
      </c>
      <c r="H128" s="1" t="s">
        <v>24</v>
      </c>
      <c r="I128" s="9"/>
    </row>
    <row r="129" spans="1:9" ht="13.8">
      <c r="A129" s="29"/>
      <c r="B129" s="15"/>
      <c r="C129" s="1"/>
      <c r="D129" s="5"/>
      <c r="E129" s="1"/>
      <c r="F129" s="56" t="s">
        <v>13</v>
      </c>
      <c r="G129" s="27">
        <f>ROUNDUP(G128,0)</f>
        <v>76</v>
      </c>
      <c r="H129" s="28" t="s">
        <v>24</v>
      </c>
      <c r="I129" s="9"/>
    </row>
    <row r="130" spans="1:9" ht="13.8">
      <c r="A130" s="29"/>
      <c r="C130" s="1"/>
      <c r="D130" s="1"/>
      <c r="E130" s="1"/>
      <c r="F130" s="1"/>
      <c r="G130" s="33"/>
      <c r="H130" s="24"/>
      <c r="I130" s="9"/>
    </row>
    <row r="131" spans="1:9" ht="13.8">
      <c r="A131" s="29">
        <f>A126+1</f>
        <v>24</v>
      </c>
      <c r="B131" s="9" t="s">
        <v>351</v>
      </c>
      <c r="C131" s="1"/>
      <c r="D131" s="1"/>
      <c r="E131" s="1"/>
      <c r="F131" s="1"/>
      <c r="G131" s="33"/>
      <c r="H131" s="24"/>
      <c r="I131" s="9"/>
    </row>
    <row r="132" spans="1:9" ht="13.8">
      <c r="A132" s="29"/>
      <c r="B132" s="46" t="s">
        <v>345</v>
      </c>
      <c r="C132" s="1">
        <v>1</v>
      </c>
      <c r="D132" s="5">
        <v>6.25</v>
      </c>
      <c r="E132" s="5">
        <v>3</v>
      </c>
      <c r="G132" s="4">
        <f>C132*D132*E132</f>
        <v>18.75</v>
      </c>
      <c r="H132" s="1" t="s">
        <v>17</v>
      </c>
      <c r="I132" s="9"/>
    </row>
    <row r="133" spans="1:9" ht="13.8">
      <c r="A133" s="29"/>
      <c r="B133" s="9"/>
      <c r="C133" s="1"/>
      <c r="D133" s="1"/>
      <c r="E133" s="1"/>
      <c r="F133" s="56" t="s">
        <v>13</v>
      </c>
      <c r="G133" s="27">
        <f>ROUNDUP(G132,0)</f>
        <v>19</v>
      </c>
      <c r="H133" s="28" t="s">
        <v>17</v>
      </c>
      <c r="I133" s="9"/>
    </row>
    <row r="134" spans="1:9" ht="13.8">
      <c r="A134" s="29"/>
      <c r="C134" s="1"/>
      <c r="D134" s="1"/>
      <c r="E134" s="1"/>
      <c r="F134" s="1"/>
      <c r="G134" s="33"/>
      <c r="H134" s="24"/>
      <c r="I134" s="9"/>
    </row>
    <row r="135" spans="1:9" ht="13.8">
      <c r="A135" s="29"/>
      <c r="C135" s="1"/>
      <c r="D135" s="1"/>
      <c r="E135" s="1"/>
      <c r="F135" s="1"/>
      <c r="G135" s="33"/>
      <c r="H135" s="24"/>
      <c r="I135" s="9"/>
    </row>
    <row r="136" spans="1:9" ht="13.8">
      <c r="A136" s="29">
        <f>A131+1</f>
        <v>25</v>
      </c>
      <c r="B136" s="9" t="s">
        <v>43</v>
      </c>
      <c r="C136" s="1"/>
      <c r="D136" s="1"/>
      <c r="E136" s="1"/>
      <c r="F136" s="1"/>
      <c r="G136" s="33"/>
      <c r="H136" s="24"/>
      <c r="I136" s="9"/>
    </row>
    <row r="137" spans="1:9" ht="13.8">
      <c r="A137" s="29"/>
      <c r="B137" s="46"/>
      <c r="C137" s="1">
        <v>2</v>
      </c>
      <c r="D137" s="5">
        <v>6.25</v>
      </c>
      <c r="E137" s="1"/>
      <c r="F137" s="5">
        <v>2.9</v>
      </c>
      <c r="G137" s="4">
        <f>C137*D137*F137</f>
        <v>36.25</v>
      </c>
      <c r="H137" s="1" t="s">
        <v>17</v>
      </c>
      <c r="I137" s="9"/>
    </row>
    <row r="138" spans="1:9" ht="13.8">
      <c r="A138" s="29"/>
      <c r="B138" s="46"/>
      <c r="C138" s="1">
        <v>2</v>
      </c>
      <c r="D138" s="5">
        <v>3</v>
      </c>
      <c r="E138" s="1"/>
      <c r="F138" s="5">
        <v>2.9</v>
      </c>
      <c r="G138" s="4">
        <f>C138*D138*F138</f>
        <v>17.399999999999999</v>
      </c>
      <c r="H138" s="1" t="s">
        <v>10</v>
      </c>
      <c r="I138" s="9"/>
    </row>
    <row r="139" spans="1:9" ht="13.8">
      <c r="A139" s="29"/>
      <c r="B139" s="46"/>
      <c r="C139" s="1">
        <v>4</v>
      </c>
      <c r="D139" s="5">
        <v>1.95</v>
      </c>
      <c r="E139" s="1"/>
      <c r="F139" s="5">
        <v>2.9</v>
      </c>
      <c r="G139" s="4">
        <f>C139*D139*F139</f>
        <v>22.619999999999997</v>
      </c>
      <c r="H139" s="1" t="s">
        <v>10</v>
      </c>
      <c r="I139" s="9"/>
    </row>
    <row r="140" spans="1:9" ht="13.8">
      <c r="A140" s="29"/>
      <c r="B140" s="46"/>
      <c r="C140" s="1">
        <v>2</v>
      </c>
      <c r="D140" s="5">
        <f>6.7+3.46</f>
        <v>10.16</v>
      </c>
      <c r="E140" s="1"/>
      <c r="F140" s="5">
        <v>0.45</v>
      </c>
      <c r="G140" s="4">
        <f>C140*D140*F140</f>
        <v>9.1440000000000001</v>
      </c>
      <c r="H140" s="1" t="s">
        <v>10</v>
      </c>
      <c r="I140" s="9"/>
    </row>
    <row r="141" spans="1:9" ht="13.8">
      <c r="A141" s="29"/>
      <c r="B141" s="46" t="s">
        <v>352</v>
      </c>
      <c r="C141" s="1">
        <v>2</v>
      </c>
      <c r="D141" s="5">
        <v>1.05</v>
      </c>
      <c r="E141" s="5"/>
      <c r="F141" s="5">
        <v>2.4500000000000002</v>
      </c>
      <c r="G141" s="4">
        <f>-C141*D141*F141</f>
        <v>-5.1450000000000005</v>
      </c>
      <c r="H141" s="1" t="s">
        <v>10</v>
      </c>
      <c r="I141" s="9"/>
    </row>
    <row r="142" spans="1:9" ht="13.8">
      <c r="A142" s="29"/>
      <c r="B142" s="46"/>
      <c r="C142" s="1">
        <v>2</v>
      </c>
      <c r="D142" s="5">
        <v>1.5</v>
      </c>
      <c r="E142" s="5"/>
      <c r="F142" s="5">
        <v>1.2</v>
      </c>
      <c r="G142" s="4">
        <f>-C142*D142*F142</f>
        <v>-3.5999999999999996</v>
      </c>
      <c r="H142" s="1" t="s">
        <v>10</v>
      </c>
      <c r="I142" s="9"/>
    </row>
    <row r="143" spans="1:9" ht="13.8">
      <c r="A143" s="29"/>
      <c r="B143" s="9"/>
      <c r="C143" s="1"/>
      <c r="D143" s="1"/>
      <c r="E143" s="1"/>
      <c r="F143" s="1"/>
      <c r="G143" s="4"/>
      <c r="H143" s="24"/>
      <c r="I143" s="9"/>
    </row>
    <row r="144" spans="1:9" ht="13.8">
      <c r="A144" s="29"/>
      <c r="B144" s="9"/>
      <c r="C144" s="1"/>
      <c r="D144" s="1"/>
      <c r="E144" s="1"/>
      <c r="F144" s="34" t="s">
        <v>11</v>
      </c>
      <c r="G144" s="53">
        <f>SUM(G137:G143)</f>
        <v>76.669000000000011</v>
      </c>
      <c r="H144" s="50" t="s">
        <v>17</v>
      </c>
      <c r="I144" s="9"/>
    </row>
    <row r="145" spans="1:10" ht="13.8">
      <c r="A145" s="29"/>
      <c r="B145" s="9"/>
      <c r="C145" s="1"/>
      <c r="D145" s="1"/>
      <c r="E145" s="1"/>
      <c r="F145" s="56" t="s">
        <v>13</v>
      </c>
      <c r="G145" s="27">
        <f>ROUNDUP(G144,0)</f>
        <v>77</v>
      </c>
      <c r="H145" s="28" t="s">
        <v>17</v>
      </c>
      <c r="I145" s="9"/>
    </row>
    <row r="146" spans="1:10" ht="13.8">
      <c r="A146" s="29"/>
      <c r="B146" s="9"/>
      <c r="C146" s="1"/>
      <c r="D146" s="1"/>
      <c r="E146" s="1"/>
      <c r="F146" s="1"/>
      <c r="G146" s="33"/>
      <c r="H146" s="24"/>
      <c r="I146" s="9"/>
    </row>
    <row r="147" spans="1:10" ht="13.8">
      <c r="A147" s="29">
        <f>A136+1</f>
        <v>26</v>
      </c>
      <c r="B147" s="9" t="s">
        <v>353</v>
      </c>
      <c r="C147" s="1"/>
      <c r="D147" s="1"/>
      <c r="E147" s="1"/>
      <c r="F147" s="1"/>
      <c r="G147" s="33"/>
      <c r="H147" s="24"/>
      <c r="I147" s="9"/>
    </row>
    <row r="148" spans="1:10" ht="13.8">
      <c r="A148" s="29"/>
      <c r="B148" s="46"/>
      <c r="C148" s="1">
        <v>2</v>
      </c>
      <c r="D148" s="5">
        <v>6.75</v>
      </c>
      <c r="E148" s="1"/>
      <c r="F148" s="5">
        <v>4.1100000000000003</v>
      </c>
      <c r="G148" s="4">
        <f>C148*D148*F148</f>
        <v>55.485000000000007</v>
      </c>
      <c r="H148" s="1" t="s">
        <v>17</v>
      </c>
      <c r="I148" s="9"/>
      <c r="J148" s="4"/>
    </row>
    <row r="149" spans="1:10" ht="13.8">
      <c r="A149" s="29"/>
      <c r="B149" s="46"/>
      <c r="C149" s="1">
        <v>2</v>
      </c>
      <c r="D149" s="5">
        <v>3.46</v>
      </c>
      <c r="E149" s="1"/>
      <c r="F149" s="5">
        <v>4.1100000000000003</v>
      </c>
      <c r="G149" s="4">
        <f>C149*D149*F149</f>
        <v>28.441200000000002</v>
      </c>
      <c r="H149" s="1" t="s">
        <v>10</v>
      </c>
      <c r="I149" s="9"/>
      <c r="J149" s="4"/>
    </row>
    <row r="150" spans="1:10" ht="13.8">
      <c r="A150" s="29"/>
      <c r="B150" s="46"/>
      <c r="C150" s="1"/>
      <c r="D150" s="5"/>
      <c r="E150" s="1"/>
      <c r="F150" s="5"/>
      <c r="G150" s="4"/>
      <c r="H150" s="1"/>
      <c r="I150" s="9"/>
      <c r="J150" s="4"/>
    </row>
    <row r="151" spans="1:10" ht="13.8">
      <c r="A151" s="29"/>
      <c r="B151" s="46"/>
      <c r="C151" s="1"/>
      <c r="D151" s="5"/>
      <c r="E151" s="1"/>
      <c r="F151" s="34" t="s">
        <v>11</v>
      </c>
      <c r="G151" s="53">
        <f>SUM(G148:G150)</f>
        <v>83.926200000000009</v>
      </c>
      <c r="H151" s="50" t="s">
        <v>17</v>
      </c>
      <c r="I151" s="9"/>
      <c r="J151" s="4"/>
    </row>
    <row r="152" spans="1:10" ht="13.8">
      <c r="A152" s="29"/>
      <c r="B152" s="9"/>
      <c r="C152" s="1"/>
      <c r="D152" s="1"/>
      <c r="E152" s="1"/>
      <c r="F152" s="56" t="s">
        <v>13</v>
      </c>
      <c r="G152" s="27">
        <f>ROUNDUP(G151,0)</f>
        <v>84</v>
      </c>
      <c r="H152" s="28" t="s">
        <v>17</v>
      </c>
      <c r="I152" s="9"/>
      <c r="J152" s="4"/>
    </row>
    <row r="153" spans="1:10" ht="13.8">
      <c r="A153" s="29"/>
      <c r="B153" s="8"/>
    </row>
    <row r="154" spans="1:10" ht="13.8">
      <c r="A154" s="29">
        <f>A147+1</f>
        <v>27</v>
      </c>
      <c r="B154" s="6" t="s">
        <v>354</v>
      </c>
    </row>
    <row r="155" spans="1:10" ht="13.8">
      <c r="A155" s="29"/>
      <c r="B155" s="46" t="s">
        <v>345</v>
      </c>
      <c r="C155" s="1">
        <v>1</v>
      </c>
      <c r="D155" s="5">
        <v>6.25</v>
      </c>
      <c r="E155" s="5">
        <v>3.46</v>
      </c>
      <c r="G155" s="4">
        <f>C155*D155*E155</f>
        <v>21.625</v>
      </c>
      <c r="H155" s="1" t="s">
        <v>17</v>
      </c>
    </row>
    <row r="156" spans="1:10" ht="13.8">
      <c r="A156" s="29"/>
      <c r="B156" s="8"/>
      <c r="C156" s="1"/>
      <c r="D156" s="1"/>
      <c r="E156" s="1"/>
      <c r="F156" s="56" t="s">
        <v>13</v>
      </c>
      <c r="G156" s="27">
        <f>ROUNDUP(G155,0)</f>
        <v>22</v>
      </c>
      <c r="H156" s="28" t="s">
        <v>17</v>
      </c>
    </row>
    <row r="157" spans="1:10" ht="13.8">
      <c r="A157" s="29">
        <f>A154+1</f>
        <v>28</v>
      </c>
      <c r="B157" s="9" t="s">
        <v>46</v>
      </c>
      <c r="C157" s="1"/>
      <c r="D157" s="5"/>
      <c r="E157" s="1"/>
      <c r="F157" s="5"/>
      <c r="G157" s="4"/>
      <c r="H157" s="1"/>
      <c r="I157" s="9"/>
    </row>
    <row r="158" spans="1:10" ht="13.8">
      <c r="A158" s="29"/>
      <c r="B158" s="46" t="s">
        <v>355</v>
      </c>
      <c r="C158" s="1"/>
      <c r="D158" s="1"/>
      <c r="E158" s="1"/>
      <c r="F158" s="1"/>
      <c r="G158" s="4">
        <f>G132</f>
        <v>18.75</v>
      </c>
      <c r="H158" s="1" t="s">
        <v>17</v>
      </c>
      <c r="I158" s="9"/>
    </row>
    <row r="159" spans="1:10" ht="13.8">
      <c r="A159" s="29"/>
      <c r="B159" s="46" t="s">
        <v>356</v>
      </c>
      <c r="C159" s="1"/>
      <c r="D159" s="1"/>
      <c r="E159" s="1"/>
      <c r="F159" s="1"/>
      <c r="G159" s="4">
        <f>G144</f>
        <v>76.669000000000011</v>
      </c>
      <c r="H159" s="1" t="s">
        <v>10</v>
      </c>
      <c r="I159" s="9"/>
    </row>
    <row r="160" spans="1:10" ht="13.8">
      <c r="A160" s="29"/>
      <c r="B160" s="46" t="s">
        <v>357</v>
      </c>
      <c r="C160" s="1"/>
      <c r="D160" s="1"/>
      <c r="E160" s="1"/>
      <c r="F160" s="1"/>
      <c r="G160" s="4">
        <f>G151</f>
        <v>83.926200000000009</v>
      </c>
      <c r="H160" s="1" t="s">
        <v>10</v>
      </c>
      <c r="I160" s="9"/>
    </row>
    <row r="161" spans="1:9" ht="13.8">
      <c r="A161" s="29"/>
      <c r="B161" s="46"/>
      <c r="C161" s="1"/>
      <c r="D161" s="5"/>
      <c r="E161" s="5"/>
      <c r="F161" s="1"/>
      <c r="G161" s="4"/>
      <c r="H161" s="1"/>
      <c r="I161" s="9"/>
    </row>
    <row r="162" spans="1:9" ht="13.8">
      <c r="A162" s="29"/>
      <c r="B162" s="46"/>
      <c r="C162" s="1"/>
      <c r="D162" s="5"/>
      <c r="E162" s="5"/>
      <c r="F162" s="34" t="s">
        <v>11</v>
      </c>
      <c r="G162" s="53">
        <f>SUM(G158:G161)</f>
        <v>179.34520000000003</v>
      </c>
      <c r="H162" s="50" t="s">
        <v>17</v>
      </c>
      <c r="I162" s="9"/>
    </row>
    <row r="163" spans="1:9" ht="13.8">
      <c r="A163" s="29"/>
      <c r="B163" s="46"/>
      <c r="C163" s="1"/>
      <c r="D163" s="1"/>
      <c r="E163" s="1"/>
      <c r="F163" s="56" t="s">
        <v>13</v>
      </c>
      <c r="G163" s="27">
        <f>ROUNDUP(G162,0)</f>
        <v>180</v>
      </c>
      <c r="H163" s="28" t="s">
        <v>17</v>
      </c>
      <c r="I163" s="9"/>
    </row>
    <row r="164" spans="1:9" ht="13.8">
      <c r="A164" s="29"/>
      <c r="B164" s="9"/>
      <c r="C164" s="1"/>
      <c r="D164" s="5"/>
      <c r="E164" s="1"/>
      <c r="F164" s="5"/>
      <c r="G164" s="4"/>
      <c r="H164" s="1"/>
      <c r="I164" s="9"/>
    </row>
    <row r="165" spans="1:9" ht="13.8">
      <c r="A165" s="29">
        <f>A157+1</f>
        <v>29</v>
      </c>
      <c r="B165" s="8" t="s">
        <v>358</v>
      </c>
    </row>
    <row r="166" spans="1:9" ht="13.8">
      <c r="A166" s="29"/>
      <c r="B166" s="46" t="s">
        <v>345</v>
      </c>
      <c r="C166" s="1">
        <v>1</v>
      </c>
      <c r="D166" s="5">
        <v>6.25</v>
      </c>
      <c r="E166" s="5">
        <v>3.46</v>
      </c>
      <c r="G166" s="4">
        <f>C166*D166*E166</f>
        <v>21.625</v>
      </c>
      <c r="H166" s="1" t="s">
        <v>17</v>
      </c>
    </row>
    <row r="167" spans="1:9" ht="13.8">
      <c r="A167" s="29"/>
      <c r="B167" s="8"/>
      <c r="C167" s="1"/>
      <c r="D167" s="1"/>
      <c r="E167" s="1"/>
      <c r="F167" s="56" t="s">
        <v>13</v>
      </c>
      <c r="G167" s="27">
        <f>ROUNDUP(G166,0)</f>
        <v>22</v>
      </c>
      <c r="H167" s="28" t="s">
        <v>17</v>
      </c>
    </row>
    <row r="168" spans="1:9" ht="13.8">
      <c r="A168" s="29"/>
    </row>
    <row r="169" spans="1:9" ht="13.8">
      <c r="A169" s="29"/>
    </row>
    <row r="170" spans="1:9" ht="13.8">
      <c r="A170" s="29"/>
    </row>
    <row r="171" spans="1:9" ht="13.8">
      <c r="A171" s="29"/>
    </row>
    <row r="172" spans="1:9" ht="13.8">
      <c r="A172" s="29"/>
    </row>
    <row r="173" spans="1:9" ht="13.8">
      <c r="A173" s="29"/>
    </row>
    <row r="174" spans="1:9" ht="13.8">
      <c r="A174" s="29"/>
    </row>
    <row r="175" spans="1:9" ht="13.8">
      <c r="A175" s="29"/>
    </row>
    <row r="176" spans="1:9" ht="13.8">
      <c r="A176" s="29"/>
    </row>
    <row r="177" spans="1:1" ht="13.8">
      <c r="A177" s="29"/>
    </row>
    <row r="178" spans="1:1" ht="13.8">
      <c r="A178" s="29"/>
    </row>
    <row r="179" spans="1:1" ht="13.8">
      <c r="A179" s="29"/>
    </row>
    <row r="180" spans="1:1" ht="13.8">
      <c r="A180" s="29"/>
    </row>
    <row r="181" spans="1:1" ht="13.8">
      <c r="A181" s="29"/>
    </row>
    <row r="182" spans="1:1" ht="13.8">
      <c r="A182" s="29"/>
    </row>
    <row r="183" spans="1:1" ht="13.8">
      <c r="A183" s="29"/>
    </row>
    <row r="184" spans="1:1" ht="13.8">
      <c r="A184" s="29"/>
    </row>
    <row r="185" spans="1:1" ht="13.8">
      <c r="A185" s="29"/>
    </row>
    <row r="186" spans="1:1" ht="13.8">
      <c r="A186" s="29"/>
    </row>
    <row r="187" spans="1:1" ht="13.8">
      <c r="A187" s="29"/>
    </row>
    <row r="188" spans="1:1" ht="13.8">
      <c r="A188" s="29"/>
    </row>
    <row r="189" spans="1:1" ht="13.8">
      <c r="A189" s="29"/>
    </row>
    <row r="190" spans="1:1" ht="13.8">
      <c r="A190" s="29"/>
    </row>
    <row r="191" spans="1:1" ht="13.8">
      <c r="A191" s="29"/>
    </row>
    <row r="192" spans="1:1" ht="13.8">
      <c r="A192" s="29"/>
    </row>
    <row r="193" spans="1:1" ht="13.8">
      <c r="A193" s="29"/>
    </row>
    <row r="194" spans="1:1" ht="13.8">
      <c r="A194" s="29"/>
    </row>
    <row r="195" spans="1:1" ht="13.8">
      <c r="A195" s="29"/>
    </row>
    <row r="196" spans="1:1" ht="13.8">
      <c r="A196" s="29"/>
    </row>
    <row r="197" spans="1:1" ht="13.8">
      <c r="A197" s="29"/>
    </row>
    <row r="198" spans="1:1" ht="13.8">
      <c r="A198" s="29"/>
    </row>
    <row r="199" spans="1:1" ht="13.8">
      <c r="A199" s="29"/>
    </row>
    <row r="200" spans="1:1" ht="13.8">
      <c r="A200" s="29"/>
    </row>
    <row r="201" spans="1:1" ht="13.8">
      <c r="A201" s="29"/>
    </row>
    <row r="202" spans="1:1" ht="13.8">
      <c r="A202" s="29"/>
    </row>
    <row r="203" spans="1:1" ht="13.8">
      <c r="A203" s="29"/>
    </row>
    <row r="204" spans="1:1" ht="13.8">
      <c r="A204" s="29"/>
    </row>
    <row r="205" spans="1:1" ht="13.8">
      <c r="A205" s="29"/>
    </row>
    <row r="206" spans="1:1" ht="13.8">
      <c r="A206" s="29"/>
    </row>
    <row r="207" spans="1:1" ht="13.8">
      <c r="A207" s="29"/>
    </row>
    <row r="208" spans="1:1" ht="13.8">
      <c r="A208" s="29"/>
    </row>
    <row r="209" spans="1:1" ht="13.8">
      <c r="A209" s="29"/>
    </row>
    <row r="210" spans="1:1" ht="13.8">
      <c r="A210" s="29"/>
    </row>
    <row r="211" spans="1:1" ht="13.8">
      <c r="A211" s="29"/>
    </row>
    <row r="212" spans="1:1" ht="13.8">
      <c r="A212" s="29"/>
    </row>
    <row r="213" spans="1:1" ht="13.8">
      <c r="A213" s="29"/>
    </row>
    <row r="214" spans="1:1" ht="13.8">
      <c r="A214" s="29"/>
    </row>
    <row r="215" spans="1:1" ht="13.8">
      <c r="A215" s="29"/>
    </row>
    <row r="216" spans="1:1" ht="13.8">
      <c r="A216" s="29"/>
    </row>
    <row r="217" spans="1:1" ht="13.8">
      <c r="A217" s="29"/>
    </row>
    <row r="218" spans="1:1" ht="13.8">
      <c r="A218" s="29"/>
    </row>
    <row r="219" spans="1:1" ht="13.8">
      <c r="A219" s="29"/>
    </row>
    <row r="220" spans="1:1" ht="13.8">
      <c r="A220" s="29"/>
    </row>
    <row r="221" spans="1:1" ht="13.8">
      <c r="A221" s="29"/>
    </row>
    <row r="222" spans="1:1" ht="13.8">
      <c r="A222" s="29"/>
    </row>
    <row r="223" spans="1:1" ht="13.8">
      <c r="A223" s="29"/>
    </row>
    <row r="224" spans="1:1" ht="13.8">
      <c r="A224" s="29"/>
    </row>
    <row r="225" spans="1:1" ht="13.8">
      <c r="A225" s="29"/>
    </row>
    <row r="226" spans="1:1" ht="13.8">
      <c r="A226" s="29"/>
    </row>
    <row r="227" spans="1:1" ht="13.8">
      <c r="A227" s="29"/>
    </row>
    <row r="228" spans="1:1" ht="13.8">
      <c r="A228" s="29"/>
    </row>
    <row r="229" spans="1:1" ht="13.8">
      <c r="A229" s="29"/>
    </row>
    <row r="230" spans="1:1" ht="13.8">
      <c r="A230" s="29"/>
    </row>
    <row r="231" spans="1:1" ht="13.8">
      <c r="A231" s="29"/>
    </row>
    <row r="232" spans="1:1" ht="13.8">
      <c r="A232" s="29"/>
    </row>
    <row r="233" spans="1:1" ht="13.8">
      <c r="A233" s="29"/>
    </row>
    <row r="234" spans="1:1" ht="13.8">
      <c r="A234" s="29"/>
    </row>
    <row r="235" spans="1:1" ht="13.8">
      <c r="A235" s="29"/>
    </row>
    <row r="236" spans="1:1" ht="13.8">
      <c r="A236" s="29"/>
    </row>
    <row r="237" spans="1:1" ht="13.8">
      <c r="A237" s="29"/>
    </row>
    <row r="238" spans="1:1" ht="13.8">
      <c r="A238" s="29"/>
    </row>
    <row r="239" spans="1:1" ht="13.8">
      <c r="A239" s="29"/>
    </row>
    <row r="240" spans="1:1" ht="13.8">
      <c r="A240" s="29"/>
    </row>
    <row r="241" spans="1:1" ht="13.8">
      <c r="A241" s="29"/>
    </row>
    <row r="242" spans="1:1" ht="13.8">
      <c r="A242" s="29"/>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2165"/>
  <sheetViews>
    <sheetView workbookViewId="0">
      <selection activeCell="I16" sqref="I16"/>
    </sheetView>
  </sheetViews>
  <sheetFormatPr defaultColWidth="9.109375" defaultRowHeight="13.2"/>
  <cols>
    <col min="1" max="1" width="5.6640625" style="209" customWidth="1"/>
    <col min="2" max="2" width="61.44140625" style="300" customWidth="1"/>
    <col min="3" max="3" width="7.6640625" style="209" customWidth="1"/>
    <col min="4" max="4" width="5.109375" style="209" customWidth="1"/>
    <col min="5" max="16384" width="9.109375" style="31"/>
  </cols>
  <sheetData>
    <row r="2" spans="1:4" ht="13.8">
      <c r="B2" s="268"/>
    </row>
    <row r="3" spans="1:4" ht="13.8">
      <c r="B3" s="268"/>
    </row>
    <row r="4" spans="1:4" ht="13.8">
      <c r="B4" s="268"/>
    </row>
    <row r="5" spans="1:4" ht="13.8">
      <c r="B5" s="268"/>
    </row>
    <row r="6" spans="1:4" ht="13.8">
      <c r="B6" s="268"/>
    </row>
    <row r="7" spans="1:4" s="9" customFormat="1" ht="13.8">
      <c r="B7" s="265" t="s">
        <v>592</v>
      </c>
      <c r="C7" s="208"/>
      <c r="D7" s="208"/>
    </row>
    <row r="8" spans="1:4" s="9" customFormat="1" ht="13.8">
      <c r="B8" s="265" t="s">
        <v>586</v>
      </c>
      <c r="C8" s="208"/>
      <c r="D8" s="208"/>
    </row>
    <row r="9" spans="1:4">
      <c r="B9" s="299"/>
    </row>
    <row r="10" spans="1:4" ht="18">
      <c r="B10" s="291" t="s">
        <v>128</v>
      </c>
      <c r="C10" s="208"/>
      <c r="D10" s="210"/>
    </row>
    <row r="11" spans="1:4" s="9" customFormat="1" ht="18">
      <c r="B11" s="291" t="s">
        <v>390</v>
      </c>
      <c r="C11" s="208"/>
      <c r="D11" s="210"/>
    </row>
    <row r="12" spans="1:4" s="23" customFormat="1" ht="18">
      <c r="B12" s="291" t="s">
        <v>75</v>
      </c>
      <c r="C12" s="208"/>
      <c r="D12" s="211"/>
    </row>
    <row r="13" spans="1:4" ht="13.8">
      <c r="B13" s="264"/>
      <c r="C13" s="208"/>
      <c r="D13" s="208"/>
    </row>
    <row r="14" spans="1:4" ht="18">
      <c r="B14" s="292" t="s">
        <v>391</v>
      </c>
      <c r="C14" s="228"/>
      <c r="D14" s="208"/>
    </row>
    <row r="15" spans="1:4">
      <c r="B15" s="293" t="s">
        <v>587</v>
      </c>
    </row>
    <row r="16" spans="1:4" ht="13.8">
      <c r="A16" s="232"/>
      <c r="B16" s="266"/>
    </row>
    <row r="17" spans="1:4" s="11" customFormat="1" ht="13.8">
      <c r="A17" s="317" t="s">
        <v>0</v>
      </c>
      <c r="B17" s="319" t="s">
        <v>20</v>
      </c>
      <c r="C17" s="317" t="s">
        <v>21</v>
      </c>
      <c r="D17" s="317" t="s">
        <v>22</v>
      </c>
    </row>
    <row r="18" spans="1:4" s="11" customFormat="1" ht="13.8">
      <c r="A18" s="317"/>
      <c r="B18" s="319"/>
      <c r="C18" s="317"/>
      <c r="D18" s="317"/>
    </row>
    <row r="19" spans="1:4" ht="13.8">
      <c r="A19" s="248"/>
      <c r="B19" s="301"/>
      <c r="C19" s="248"/>
      <c r="D19" s="248"/>
    </row>
    <row r="20" spans="1:4" s="247" customFormat="1" ht="105.6">
      <c r="A20" s="254">
        <v>1</v>
      </c>
      <c r="B20" s="287" t="s">
        <v>834</v>
      </c>
      <c r="C20" s="255">
        <f>'Det-Sit.Dev'!G19</f>
        <v>365</v>
      </c>
      <c r="D20" s="254" t="s">
        <v>12</v>
      </c>
    </row>
    <row r="21" spans="1:4" s="247" customFormat="1">
      <c r="A21" s="254"/>
      <c r="B21" s="283"/>
      <c r="C21" s="255"/>
      <c r="D21" s="252"/>
    </row>
    <row r="22" spans="1:4" s="247" customFormat="1" ht="66">
      <c r="A22" s="254">
        <v>2</v>
      </c>
      <c r="B22" s="287" t="s">
        <v>835</v>
      </c>
      <c r="C22" s="255">
        <f>'Det-Sit.Dev'!G21</f>
        <v>365</v>
      </c>
      <c r="D22" s="255" t="s">
        <v>9</v>
      </c>
    </row>
    <row r="23" spans="1:4" s="247" customFormat="1">
      <c r="A23" s="254"/>
      <c r="B23" s="287"/>
      <c r="C23" s="255"/>
      <c r="D23" s="252"/>
    </row>
    <row r="24" spans="1:4" s="247" customFormat="1" ht="39.6">
      <c r="A24" s="254">
        <v>3</v>
      </c>
      <c r="B24" s="287" t="s">
        <v>836</v>
      </c>
      <c r="C24" s="255">
        <f>'Det-Sit.Dev'!G29</f>
        <v>4891</v>
      </c>
      <c r="D24" s="254" t="s">
        <v>12</v>
      </c>
    </row>
    <row r="25" spans="1:4" s="247" customFormat="1">
      <c r="A25" s="254"/>
      <c r="B25" s="283"/>
      <c r="C25" s="255"/>
      <c r="D25" s="252"/>
    </row>
    <row r="26" spans="1:4" s="247" customFormat="1">
      <c r="A26" s="254">
        <v>4</v>
      </c>
      <c r="B26" s="287" t="s">
        <v>926</v>
      </c>
      <c r="C26" s="255">
        <f>'Det-Sit.Dev'!G32</f>
        <v>297</v>
      </c>
      <c r="D26" s="254" t="s">
        <v>12</v>
      </c>
    </row>
    <row r="27" spans="1:4" s="247" customFormat="1">
      <c r="A27" s="254"/>
      <c r="B27" s="287"/>
      <c r="C27" s="255"/>
      <c r="D27" s="254"/>
    </row>
    <row r="28" spans="1:4" s="247" customFormat="1" ht="92.4">
      <c r="A28" s="254">
        <v>5</v>
      </c>
      <c r="B28" s="287" t="s">
        <v>927</v>
      </c>
      <c r="C28" s="255">
        <f>'Det-Sit.Dev'!G35</f>
        <v>297</v>
      </c>
      <c r="D28" s="254" t="s">
        <v>12</v>
      </c>
    </row>
    <row r="29" spans="1:4" s="247" customFormat="1">
      <c r="A29" s="254"/>
      <c r="B29" s="311"/>
      <c r="C29" s="255"/>
      <c r="D29" s="252"/>
    </row>
    <row r="30" spans="1:4" s="247" customFormat="1" ht="66">
      <c r="A30" s="254">
        <v>6</v>
      </c>
      <c r="B30" s="287" t="s">
        <v>838</v>
      </c>
      <c r="C30" s="255">
        <f>'Det-Sit.Dev'!G44</f>
        <v>76</v>
      </c>
      <c r="D30" s="254" t="s">
        <v>12</v>
      </c>
    </row>
    <row r="31" spans="1:4" s="247" customFormat="1">
      <c r="A31" s="254"/>
      <c r="B31" s="287"/>
      <c r="C31" s="255"/>
      <c r="D31" s="254"/>
    </row>
    <row r="32" spans="1:4" s="247" customFormat="1" ht="66">
      <c r="A32" s="254">
        <f>A30+1</f>
        <v>7</v>
      </c>
      <c r="B32" s="287" t="s">
        <v>839</v>
      </c>
      <c r="C32" s="255">
        <f>'Det-Sit.Dev'!G48</f>
        <v>11</v>
      </c>
      <c r="D32" s="254" t="s">
        <v>12</v>
      </c>
    </row>
    <row r="33" spans="1:4" s="247" customFormat="1">
      <c r="A33" s="254"/>
      <c r="B33" s="311"/>
      <c r="C33" s="255"/>
      <c r="D33" s="252"/>
    </row>
    <row r="34" spans="1:4" s="247" customFormat="1" ht="79.2">
      <c r="A34" s="254">
        <f>A32+1</f>
        <v>8</v>
      </c>
      <c r="B34" s="287" t="s">
        <v>936</v>
      </c>
      <c r="C34" s="255">
        <f>'Det-Sit.Dev'!G56</f>
        <v>6640</v>
      </c>
      <c r="D34" s="254" t="s">
        <v>401</v>
      </c>
    </row>
    <row r="35" spans="1:4" s="247" customFormat="1">
      <c r="A35" s="254"/>
      <c r="B35" s="311"/>
      <c r="C35" s="255"/>
      <c r="D35" s="254"/>
    </row>
    <row r="36" spans="1:4" s="247" customFormat="1" ht="52.8">
      <c r="A36" s="254">
        <f>A34+1</f>
        <v>9</v>
      </c>
      <c r="B36" s="287" t="s">
        <v>928</v>
      </c>
      <c r="C36" s="255">
        <f>'Det-Sit.Dev'!G65</f>
        <v>248</v>
      </c>
      <c r="D36" s="254" t="s">
        <v>12</v>
      </c>
    </row>
    <row r="37" spans="1:4" s="247" customFormat="1">
      <c r="A37" s="254"/>
      <c r="B37" s="311"/>
      <c r="C37" s="255"/>
      <c r="D37" s="254"/>
    </row>
    <row r="38" spans="1:4" s="247" customFormat="1" ht="105.6">
      <c r="A38" s="254">
        <f>A36+1</f>
        <v>10</v>
      </c>
      <c r="B38" s="296" t="s">
        <v>929</v>
      </c>
      <c r="C38" s="255">
        <f>'Det-Sit.Dev'!G69</f>
        <v>14</v>
      </c>
      <c r="D38" s="254" t="s">
        <v>17</v>
      </c>
    </row>
    <row r="39" spans="1:4" s="247" customFormat="1">
      <c r="A39" s="254"/>
      <c r="B39" s="296"/>
      <c r="C39" s="255"/>
      <c r="D39" s="254"/>
    </row>
    <row r="40" spans="1:4" s="247" customFormat="1" ht="132">
      <c r="A40" s="254">
        <f>A38+1</f>
        <v>11</v>
      </c>
      <c r="B40" s="287" t="s">
        <v>930</v>
      </c>
      <c r="C40" s="255">
        <f>'Det-Sit.Dev'!G74</f>
        <v>42</v>
      </c>
      <c r="D40" s="254" t="s">
        <v>12</v>
      </c>
    </row>
    <row r="41" spans="1:4" s="247" customFormat="1">
      <c r="A41" s="254"/>
      <c r="B41" s="287"/>
      <c r="C41" s="255"/>
      <c r="D41" s="254"/>
    </row>
    <row r="42" spans="1:4" s="247" customFormat="1" ht="26.4">
      <c r="A42" s="254">
        <f>A40+1</f>
        <v>12</v>
      </c>
      <c r="B42" s="287" t="s">
        <v>581</v>
      </c>
      <c r="C42" s="255">
        <f>'Det-Sit.Dev'!G78</f>
        <v>58</v>
      </c>
      <c r="D42" s="254" t="s">
        <v>12</v>
      </c>
    </row>
    <row r="43" spans="1:4" s="247" customFormat="1">
      <c r="A43" s="254"/>
      <c r="B43" s="287"/>
      <c r="C43" s="255"/>
      <c r="D43" s="254"/>
    </row>
    <row r="44" spans="1:4" s="247" customFormat="1" ht="52.8">
      <c r="A44" s="254">
        <f>A42+1</f>
        <v>13</v>
      </c>
      <c r="B44" s="289" t="s">
        <v>924</v>
      </c>
      <c r="C44" s="255">
        <f>'Det-Sit.Dev'!G82</f>
        <v>900</v>
      </c>
      <c r="D44" s="254" t="s">
        <v>17</v>
      </c>
    </row>
    <row r="45" spans="1:4" s="247" customFormat="1">
      <c r="A45" s="254"/>
      <c r="B45" s="287"/>
      <c r="C45" s="255"/>
      <c r="D45" s="254"/>
    </row>
    <row r="46" spans="1:4" s="247" customFormat="1" ht="52.8">
      <c r="A46" s="254">
        <f>A44+1</f>
        <v>14</v>
      </c>
      <c r="B46" s="289" t="s">
        <v>931</v>
      </c>
      <c r="C46" s="252"/>
      <c r="D46" s="252"/>
    </row>
    <row r="47" spans="1:4" s="247" customFormat="1">
      <c r="A47" s="254"/>
      <c r="B47" s="287" t="s">
        <v>392</v>
      </c>
      <c r="C47" s="255">
        <f>'Det-Sit.Dev'!G86</f>
        <v>30</v>
      </c>
      <c r="D47" s="254" t="s">
        <v>49</v>
      </c>
    </row>
    <row r="48" spans="1:4" s="247" customFormat="1">
      <c r="A48" s="254"/>
      <c r="B48" s="287" t="s">
        <v>393</v>
      </c>
      <c r="C48" s="255">
        <f>'Det-Sit.Dev'!G89</f>
        <v>40</v>
      </c>
      <c r="D48" s="254" t="s">
        <v>49</v>
      </c>
    </row>
    <row r="49" spans="1:4" ht="13.8">
      <c r="A49" s="229"/>
      <c r="B49" s="266"/>
      <c r="C49" s="213"/>
      <c r="D49" s="229"/>
    </row>
    <row r="50" spans="1:4" s="9" customFormat="1" ht="13.8" hidden="1">
      <c r="A50" s="214"/>
      <c r="B50" s="270" t="s">
        <v>23</v>
      </c>
      <c r="C50" s="214"/>
      <c r="D50" s="214"/>
    </row>
    <row r="51" spans="1:4" s="9" customFormat="1" ht="13.8" hidden="1">
      <c r="A51" s="208"/>
      <c r="B51" s="267"/>
      <c r="C51" s="208"/>
      <c r="D51" s="208"/>
    </row>
    <row r="52" spans="1:4" s="11" customFormat="1" ht="13.8" hidden="1">
      <c r="A52" s="208">
        <v>1</v>
      </c>
      <c r="B52" s="271" t="s">
        <v>588</v>
      </c>
      <c r="C52" s="208"/>
      <c r="D52" s="208"/>
    </row>
    <row r="53" spans="1:4" s="11" customFormat="1" ht="13.8" hidden="1">
      <c r="A53" s="208"/>
      <c r="B53" s="266"/>
      <c r="C53" s="208"/>
      <c r="D53" s="208"/>
    </row>
    <row r="54" spans="1:4" s="11" customFormat="1" ht="13.8" hidden="1">
      <c r="A54" s="214"/>
      <c r="B54" s="270" t="s">
        <v>23</v>
      </c>
      <c r="C54" s="214"/>
      <c r="D54" s="215"/>
    </row>
    <row r="55" spans="1:4" s="11" customFormat="1" ht="13.8" hidden="1">
      <c r="A55" s="208"/>
      <c r="B55" s="267"/>
      <c r="C55" s="208"/>
      <c r="D55" s="208"/>
    </row>
    <row r="56" spans="1:4" s="11" customFormat="1" ht="13.8" hidden="1">
      <c r="A56" s="208">
        <v>2</v>
      </c>
      <c r="B56" s="266" t="s">
        <v>404</v>
      </c>
      <c r="C56" s="208"/>
      <c r="D56" s="208"/>
    </row>
    <row r="57" spans="1:4" s="11" customFormat="1" ht="13.8" hidden="1">
      <c r="A57" s="208"/>
      <c r="B57" s="266"/>
      <c r="C57" s="208"/>
      <c r="D57" s="208"/>
    </row>
    <row r="58" spans="1:4" s="11" customFormat="1" ht="13.8" hidden="1">
      <c r="A58" s="216"/>
      <c r="B58" s="272" t="s">
        <v>405</v>
      </c>
      <c r="C58" s="216"/>
      <c r="D58" s="216"/>
    </row>
    <row r="59" spans="1:4" s="11" customFormat="1" ht="13.8" hidden="1">
      <c r="A59" s="216"/>
      <c r="B59" s="273"/>
      <c r="C59" s="216"/>
      <c r="D59" s="216"/>
    </row>
    <row r="60" spans="1:4" s="11" customFormat="1" ht="13.8" hidden="1">
      <c r="A60" s="214"/>
      <c r="B60" s="270" t="s">
        <v>406</v>
      </c>
      <c r="C60" s="214"/>
      <c r="D60" s="214"/>
    </row>
    <row r="61" spans="1:4" s="11" customFormat="1" ht="14.4" hidden="1" thickBot="1">
      <c r="A61" s="217"/>
      <c r="B61" s="274" t="s">
        <v>407</v>
      </c>
      <c r="C61" s="217"/>
      <c r="D61" s="217"/>
    </row>
    <row r="62" spans="1:4" ht="13.8">
      <c r="A62" s="229"/>
      <c r="B62" s="309"/>
      <c r="C62" s="213"/>
      <c r="D62" s="229"/>
    </row>
    <row r="63" spans="1:4" ht="13.8">
      <c r="A63" s="229"/>
      <c r="B63" s="309"/>
      <c r="C63" s="213"/>
      <c r="D63" s="229"/>
    </row>
    <row r="64" spans="1:4" ht="13.8">
      <c r="A64" s="229"/>
      <c r="B64" s="309"/>
      <c r="C64" s="213"/>
      <c r="D64" s="229"/>
    </row>
    <row r="65" spans="1:4" ht="13.8">
      <c r="A65" s="229"/>
      <c r="B65" s="309"/>
      <c r="C65" s="213"/>
      <c r="D65" s="229"/>
    </row>
    <row r="66" spans="1:4" ht="13.8">
      <c r="A66" s="229"/>
      <c r="B66" s="309"/>
      <c r="C66" s="213"/>
      <c r="D66" s="229"/>
    </row>
    <row r="67" spans="1:4" ht="13.8">
      <c r="A67" s="229"/>
      <c r="B67" s="309"/>
      <c r="C67" s="213"/>
      <c r="D67" s="229"/>
    </row>
    <row r="68" spans="1:4" ht="13.8">
      <c r="A68" s="229"/>
      <c r="B68" s="309"/>
      <c r="C68" s="213"/>
      <c r="D68" s="229"/>
    </row>
    <row r="69" spans="1:4" ht="13.8">
      <c r="A69" s="229"/>
      <c r="B69" s="309"/>
      <c r="C69" s="213"/>
      <c r="D69" s="229"/>
    </row>
    <row r="70" spans="1:4" ht="13.8">
      <c r="A70" s="229"/>
      <c r="B70" s="309"/>
      <c r="C70" s="213"/>
      <c r="D70" s="229"/>
    </row>
    <row r="71" spans="1:4" ht="13.8">
      <c r="A71" s="229"/>
      <c r="B71" s="309"/>
      <c r="C71" s="213"/>
      <c r="D71" s="229"/>
    </row>
    <row r="72" spans="1:4" ht="13.8">
      <c r="A72" s="229"/>
      <c r="B72" s="309"/>
      <c r="C72" s="213"/>
      <c r="D72" s="229"/>
    </row>
    <row r="73" spans="1:4" ht="13.8">
      <c r="A73" s="229"/>
      <c r="B73" s="309"/>
      <c r="C73" s="213"/>
      <c r="D73" s="229"/>
    </row>
    <row r="74" spans="1:4" ht="13.8">
      <c r="A74" s="229"/>
      <c r="B74" s="309"/>
      <c r="C74" s="213"/>
      <c r="D74" s="229"/>
    </row>
    <row r="75" spans="1:4" ht="13.8">
      <c r="A75" s="229"/>
      <c r="B75" s="309"/>
      <c r="C75" s="213"/>
      <c r="D75" s="229"/>
    </row>
    <row r="76" spans="1:4" ht="13.8">
      <c r="A76" s="229"/>
      <c r="B76" s="309"/>
      <c r="C76" s="213"/>
      <c r="D76" s="229"/>
    </row>
    <row r="77" spans="1:4" ht="13.8">
      <c r="A77" s="229"/>
      <c r="B77" s="309"/>
      <c r="C77" s="213"/>
      <c r="D77" s="229"/>
    </row>
    <row r="78" spans="1:4" ht="13.8">
      <c r="A78" s="229"/>
      <c r="B78" s="309"/>
      <c r="C78" s="213"/>
      <c r="D78" s="229"/>
    </row>
    <row r="79" spans="1:4" ht="13.8">
      <c r="A79" s="229"/>
      <c r="B79" s="309"/>
      <c r="C79" s="213"/>
      <c r="D79" s="229"/>
    </row>
    <row r="80" spans="1:4" ht="13.8">
      <c r="A80" s="229"/>
      <c r="B80" s="309"/>
      <c r="C80" s="213"/>
      <c r="D80" s="229"/>
    </row>
    <row r="81" spans="1:4" ht="13.8">
      <c r="A81" s="229"/>
      <c r="B81" s="309"/>
      <c r="C81" s="213"/>
      <c r="D81" s="229"/>
    </row>
    <row r="82" spans="1:4" ht="13.8">
      <c r="A82" s="229"/>
      <c r="B82" s="309"/>
      <c r="C82" s="213"/>
      <c r="D82" s="229"/>
    </row>
    <row r="83" spans="1:4" ht="13.8">
      <c r="A83" s="229"/>
      <c r="B83" s="309"/>
      <c r="C83" s="213"/>
      <c r="D83" s="229"/>
    </row>
    <row r="84" spans="1:4" ht="13.8">
      <c r="A84" s="229"/>
      <c r="B84" s="309"/>
      <c r="C84" s="213"/>
      <c r="D84" s="229"/>
    </row>
    <row r="85" spans="1:4" ht="13.8">
      <c r="A85" s="229"/>
      <c r="B85" s="309"/>
      <c r="C85" s="213"/>
      <c r="D85" s="229"/>
    </row>
    <row r="86" spans="1:4" ht="13.8">
      <c r="A86" s="229"/>
      <c r="B86" s="309"/>
      <c r="C86" s="213"/>
      <c r="D86" s="229"/>
    </row>
    <row r="87" spans="1:4" ht="13.8">
      <c r="A87" s="229"/>
      <c r="B87" s="309"/>
      <c r="C87" s="213"/>
      <c r="D87" s="229"/>
    </row>
    <row r="88" spans="1:4" ht="13.8">
      <c r="A88" s="229"/>
      <c r="B88" s="309"/>
      <c r="C88" s="213"/>
      <c r="D88" s="229"/>
    </row>
    <row r="89" spans="1:4" ht="13.8">
      <c r="A89" s="229"/>
      <c r="B89" s="309"/>
      <c r="C89" s="213"/>
      <c r="D89" s="229"/>
    </row>
    <row r="90" spans="1:4" ht="13.8">
      <c r="A90" s="229"/>
      <c r="B90" s="309"/>
      <c r="C90" s="213"/>
      <c r="D90" s="229"/>
    </row>
    <row r="91" spans="1:4" ht="13.8">
      <c r="A91" s="229"/>
      <c r="B91" s="309"/>
      <c r="C91" s="213"/>
      <c r="D91" s="229"/>
    </row>
    <row r="92" spans="1:4" ht="13.8">
      <c r="A92" s="229"/>
      <c r="B92" s="309"/>
      <c r="C92" s="213"/>
      <c r="D92" s="229"/>
    </row>
    <row r="93" spans="1:4" ht="13.8">
      <c r="A93" s="229"/>
      <c r="B93" s="309"/>
      <c r="C93" s="213"/>
      <c r="D93" s="229"/>
    </row>
    <row r="94" spans="1:4" ht="13.8">
      <c r="A94" s="229"/>
      <c r="B94" s="309"/>
      <c r="C94" s="213"/>
      <c r="D94" s="229"/>
    </row>
    <row r="95" spans="1:4" ht="13.8">
      <c r="A95" s="229"/>
      <c r="B95" s="309"/>
      <c r="C95" s="213"/>
      <c r="D95" s="229"/>
    </row>
    <row r="96" spans="1:4" ht="13.8">
      <c r="A96" s="229"/>
      <c r="B96" s="309"/>
      <c r="C96" s="213"/>
      <c r="D96" s="229"/>
    </row>
    <row r="97" spans="1:4" ht="13.8">
      <c r="A97" s="229"/>
      <c r="B97" s="309"/>
      <c r="C97" s="213"/>
      <c r="D97" s="229"/>
    </row>
    <row r="98" spans="1:4" ht="13.8">
      <c r="A98" s="229"/>
      <c r="B98" s="309"/>
      <c r="C98" s="213"/>
      <c r="D98" s="229"/>
    </row>
    <row r="99" spans="1:4" ht="13.8">
      <c r="A99" s="229"/>
      <c r="B99" s="309"/>
      <c r="C99" s="213"/>
      <c r="D99" s="229"/>
    </row>
    <row r="100" spans="1:4" ht="13.8">
      <c r="A100" s="229"/>
      <c r="B100" s="309"/>
      <c r="C100" s="213"/>
      <c r="D100" s="229"/>
    </row>
    <row r="101" spans="1:4" ht="13.8">
      <c r="A101" s="229"/>
      <c r="B101" s="309"/>
      <c r="C101" s="213"/>
      <c r="D101" s="229"/>
    </row>
    <row r="102" spans="1:4" ht="13.8">
      <c r="A102" s="229"/>
      <c r="B102" s="309"/>
      <c r="C102" s="213"/>
      <c r="D102" s="229"/>
    </row>
    <row r="103" spans="1:4" ht="13.8">
      <c r="A103" s="229"/>
      <c r="B103" s="309"/>
      <c r="C103" s="213"/>
      <c r="D103" s="229"/>
    </row>
    <row r="104" spans="1:4" ht="13.8">
      <c r="A104" s="229"/>
      <c r="B104" s="309"/>
      <c r="C104" s="213"/>
      <c r="D104" s="229"/>
    </row>
    <row r="105" spans="1:4" ht="13.8">
      <c r="A105" s="229"/>
      <c r="B105" s="309"/>
      <c r="C105" s="213"/>
      <c r="D105" s="229"/>
    </row>
    <row r="106" spans="1:4" ht="13.8">
      <c r="A106" s="229"/>
      <c r="B106" s="309"/>
      <c r="C106" s="213"/>
      <c r="D106" s="229"/>
    </row>
    <row r="107" spans="1:4" ht="13.8">
      <c r="A107" s="229"/>
      <c r="B107" s="309"/>
      <c r="C107" s="213"/>
      <c r="D107" s="229"/>
    </row>
    <row r="108" spans="1:4" ht="13.8">
      <c r="A108" s="229"/>
      <c r="B108" s="309"/>
      <c r="C108" s="213"/>
      <c r="D108" s="229"/>
    </row>
    <row r="109" spans="1:4" ht="13.8">
      <c r="A109" s="229"/>
      <c r="B109" s="309"/>
      <c r="C109" s="213"/>
      <c r="D109" s="229"/>
    </row>
    <row r="110" spans="1:4" ht="13.8">
      <c r="A110" s="229"/>
      <c r="B110" s="309"/>
      <c r="C110" s="213"/>
      <c r="D110" s="229"/>
    </row>
    <row r="111" spans="1:4" ht="13.8">
      <c r="A111" s="229"/>
      <c r="B111" s="309"/>
      <c r="C111" s="213"/>
      <c r="D111" s="229"/>
    </row>
    <row r="112" spans="1:4" ht="13.8">
      <c r="A112" s="229"/>
      <c r="B112" s="309"/>
      <c r="C112" s="213"/>
      <c r="D112" s="229"/>
    </row>
    <row r="113" spans="1:4" ht="13.8">
      <c r="A113" s="229"/>
      <c r="B113" s="309"/>
      <c r="C113" s="213"/>
      <c r="D113" s="229"/>
    </row>
    <row r="114" spans="1:4" ht="13.8">
      <c r="A114" s="229"/>
      <c r="B114" s="309"/>
      <c r="C114" s="213"/>
      <c r="D114" s="229"/>
    </row>
    <row r="115" spans="1:4" ht="13.8">
      <c r="A115" s="229"/>
      <c r="B115" s="309"/>
      <c r="C115" s="213"/>
      <c r="D115" s="229"/>
    </row>
    <row r="116" spans="1:4" ht="13.8">
      <c r="A116" s="229"/>
      <c r="B116" s="309"/>
      <c r="C116" s="213"/>
      <c r="D116" s="229"/>
    </row>
    <row r="117" spans="1:4" ht="13.8">
      <c r="A117" s="229"/>
      <c r="B117" s="309"/>
      <c r="C117" s="213"/>
      <c r="D117" s="229"/>
    </row>
    <row r="118" spans="1:4" ht="13.8">
      <c r="A118" s="229"/>
      <c r="B118" s="309"/>
      <c r="C118" s="213"/>
      <c r="D118" s="229"/>
    </row>
    <row r="119" spans="1:4" ht="13.8">
      <c r="A119" s="229"/>
      <c r="B119" s="309"/>
      <c r="C119" s="213"/>
      <c r="D119" s="229"/>
    </row>
    <row r="120" spans="1:4" ht="13.8">
      <c r="A120" s="229"/>
      <c r="B120" s="309"/>
      <c r="C120" s="213"/>
      <c r="D120" s="229"/>
    </row>
    <row r="121" spans="1:4" ht="13.8">
      <c r="A121" s="229"/>
      <c r="B121" s="309"/>
      <c r="C121" s="213"/>
      <c r="D121" s="229"/>
    </row>
    <row r="122" spans="1:4" ht="13.8">
      <c r="A122" s="229"/>
      <c r="B122" s="309"/>
      <c r="C122" s="213"/>
      <c r="D122" s="229"/>
    </row>
    <row r="123" spans="1:4" ht="13.8">
      <c r="A123" s="229"/>
      <c r="B123" s="309"/>
      <c r="C123" s="213"/>
      <c r="D123" s="229"/>
    </row>
    <row r="124" spans="1:4" ht="13.8">
      <c r="A124" s="229"/>
      <c r="B124" s="309"/>
      <c r="C124" s="213"/>
      <c r="D124" s="229"/>
    </row>
    <row r="125" spans="1:4" ht="13.8">
      <c r="A125" s="229"/>
      <c r="B125" s="309"/>
      <c r="C125" s="213"/>
      <c r="D125" s="229"/>
    </row>
    <row r="126" spans="1:4" ht="13.8">
      <c r="A126" s="229"/>
      <c r="B126" s="309"/>
      <c r="C126" s="213"/>
      <c r="D126" s="229"/>
    </row>
    <row r="127" spans="1:4" ht="13.8">
      <c r="A127" s="229"/>
      <c r="B127" s="309"/>
      <c r="C127" s="213"/>
      <c r="D127" s="229"/>
    </row>
    <row r="128" spans="1:4" ht="13.8">
      <c r="A128" s="229"/>
      <c r="B128" s="309"/>
      <c r="C128" s="213"/>
      <c r="D128" s="229"/>
    </row>
    <row r="129" spans="1:4" ht="13.8">
      <c r="A129" s="229"/>
      <c r="B129" s="309"/>
      <c r="C129" s="213"/>
      <c r="D129" s="229"/>
    </row>
    <row r="130" spans="1:4" ht="13.8">
      <c r="A130" s="229"/>
      <c r="B130" s="309"/>
      <c r="C130" s="213"/>
      <c r="D130" s="229"/>
    </row>
    <row r="131" spans="1:4" ht="13.8">
      <c r="A131" s="229"/>
      <c r="B131" s="309"/>
      <c r="C131" s="213"/>
      <c r="D131" s="229"/>
    </row>
    <row r="132" spans="1:4" ht="13.8">
      <c r="A132" s="229"/>
      <c r="B132" s="309"/>
      <c r="C132" s="213"/>
      <c r="D132" s="229"/>
    </row>
    <row r="133" spans="1:4" ht="13.8">
      <c r="A133" s="229"/>
      <c r="B133" s="309"/>
      <c r="C133" s="213"/>
      <c r="D133" s="229"/>
    </row>
    <row r="134" spans="1:4" ht="13.8">
      <c r="A134" s="229"/>
      <c r="B134" s="309"/>
      <c r="C134" s="213"/>
      <c r="D134" s="229"/>
    </row>
    <row r="135" spans="1:4" ht="13.8">
      <c r="A135" s="229"/>
      <c r="B135" s="309"/>
      <c r="C135" s="213"/>
      <c r="D135" s="229"/>
    </row>
    <row r="136" spans="1:4" ht="13.8">
      <c r="A136" s="229"/>
      <c r="B136" s="309"/>
      <c r="C136" s="213"/>
      <c r="D136" s="229"/>
    </row>
    <row r="137" spans="1:4" ht="13.8">
      <c r="A137" s="229"/>
      <c r="B137" s="309"/>
      <c r="C137" s="213"/>
      <c r="D137" s="229"/>
    </row>
    <row r="138" spans="1:4" ht="13.8">
      <c r="A138" s="229"/>
      <c r="B138" s="309"/>
      <c r="C138" s="213"/>
      <c r="D138" s="229"/>
    </row>
    <row r="139" spans="1:4" ht="13.8">
      <c r="A139" s="229"/>
      <c r="B139" s="309"/>
      <c r="C139" s="213"/>
      <c r="D139" s="229"/>
    </row>
    <row r="140" spans="1:4" ht="13.8">
      <c r="A140" s="229"/>
      <c r="B140" s="309"/>
      <c r="C140" s="213"/>
      <c r="D140" s="229"/>
    </row>
    <row r="141" spans="1:4" ht="13.8">
      <c r="A141" s="229"/>
      <c r="B141" s="309"/>
      <c r="C141" s="213"/>
      <c r="D141" s="229"/>
    </row>
    <row r="142" spans="1:4" ht="13.8">
      <c r="A142" s="229"/>
      <c r="B142" s="309"/>
      <c r="C142" s="213"/>
      <c r="D142" s="229"/>
    </row>
    <row r="143" spans="1:4" ht="13.8">
      <c r="A143" s="229"/>
      <c r="B143" s="309"/>
      <c r="C143" s="213"/>
      <c r="D143" s="229"/>
    </row>
    <row r="144" spans="1:4" ht="13.8">
      <c r="A144" s="229"/>
      <c r="B144" s="309"/>
      <c r="C144" s="213"/>
      <c r="D144" s="229"/>
    </row>
    <row r="145" spans="1:4" ht="13.8">
      <c r="A145" s="229"/>
      <c r="B145" s="309"/>
      <c r="C145" s="213"/>
      <c r="D145" s="229"/>
    </row>
    <row r="146" spans="1:4" ht="13.8">
      <c r="A146" s="229"/>
      <c r="B146" s="309"/>
      <c r="C146" s="213"/>
      <c r="D146" s="229"/>
    </row>
    <row r="147" spans="1:4" ht="13.8">
      <c r="A147" s="229"/>
      <c r="B147" s="309"/>
      <c r="C147" s="213"/>
      <c r="D147" s="229"/>
    </row>
    <row r="148" spans="1:4" ht="13.8">
      <c r="A148" s="229"/>
      <c r="B148" s="309"/>
      <c r="C148" s="213"/>
      <c r="D148" s="229"/>
    </row>
    <row r="149" spans="1:4" ht="13.8">
      <c r="A149" s="229"/>
      <c r="B149" s="309"/>
      <c r="C149" s="213"/>
      <c r="D149" s="229"/>
    </row>
    <row r="150" spans="1:4" ht="13.8">
      <c r="A150" s="229"/>
      <c r="B150" s="309"/>
      <c r="C150" s="213"/>
      <c r="D150" s="229"/>
    </row>
    <row r="151" spans="1:4" ht="13.8">
      <c r="A151" s="229"/>
      <c r="B151" s="309"/>
      <c r="C151" s="213"/>
      <c r="D151" s="229"/>
    </row>
    <row r="152" spans="1:4" ht="13.8">
      <c r="A152" s="229"/>
      <c r="B152" s="309"/>
      <c r="C152" s="213"/>
      <c r="D152" s="229"/>
    </row>
    <row r="153" spans="1:4" ht="13.8">
      <c r="A153" s="229"/>
      <c r="B153" s="309"/>
      <c r="C153" s="213"/>
      <c r="D153" s="229"/>
    </row>
    <row r="154" spans="1:4" ht="13.8">
      <c r="A154" s="229"/>
      <c r="B154" s="309"/>
      <c r="C154" s="213"/>
      <c r="D154" s="229"/>
    </row>
    <row r="155" spans="1:4" ht="13.8">
      <c r="A155" s="229"/>
      <c r="B155" s="309"/>
      <c r="C155" s="213"/>
      <c r="D155" s="229"/>
    </row>
    <row r="156" spans="1:4" ht="13.8">
      <c r="A156" s="229"/>
      <c r="B156" s="309"/>
      <c r="C156" s="213"/>
      <c r="D156" s="229"/>
    </row>
    <row r="157" spans="1:4" ht="13.8">
      <c r="A157" s="229"/>
      <c r="B157" s="309"/>
      <c r="C157" s="213"/>
      <c r="D157" s="229"/>
    </row>
    <row r="158" spans="1:4" ht="13.8">
      <c r="A158" s="229"/>
      <c r="B158" s="309"/>
      <c r="C158" s="213"/>
      <c r="D158" s="229"/>
    </row>
    <row r="159" spans="1:4" ht="13.8">
      <c r="A159" s="229"/>
      <c r="B159" s="309"/>
      <c r="C159" s="213"/>
      <c r="D159" s="229"/>
    </row>
    <row r="160" spans="1:4" ht="13.8">
      <c r="A160" s="229"/>
      <c r="B160" s="309"/>
      <c r="C160" s="213"/>
      <c r="D160" s="229"/>
    </row>
    <row r="161" spans="1:4" ht="13.8">
      <c r="A161" s="229"/>
      <c r="B161" s="309"/>
      <c r="C161" s="213"/>
      <c r="D161" s="229"/>
    </row>
    <row r="162" spans="1:4" ht="13.8">
      <c r="A162" s="229"/>
      <c r="B162" s="309"/>
      <c r="C162" s="213"/>
      <c r="D162" s="229"/>
    </row>
    <row r="163" spans="1:4" ht="13.8">
      <c r="A163" s="229"/>
      <c r="B163" s="309"/>
      <c r="C163" s="213"/>
      <c r="D163" s="229"/>
    </row>
    <row r="164" spans="1:4" ht="13.8">
      <c r="A164" s="229"/>
      <c r="B164" s="309"/>
      <c r="C164" s="213"/>
      <c r="D164" s="229"/>
    </row>
    <row r="165" spans="1:4" ht="13.8">
      <c r="A165" s="229"/>
      <c r="B165" s="309"/>
      <c r="C165" s="213"/>
      <c r="D165" s="229"/>
    </row>
    <row r="166" spans="1:4" ht="13.8">
      <c r="A166" s="229"/>
      <c r="B166" s="309"/>
      <c r="C166" s="213"/>
      <c r="D166" s="229"/>
    </row>
    <row r="167" spans="1:4" ht="13.8">
      <c r="A167" s="229"/>
      <c r="B167" s="309"/>
      <c r="C167" s="213"/>
      <c r="D167" s="229"/>
    </row>
    <row r="168" spans="1:4" ht="13.8">
      <c r="A168" s="229"/>
      <c r="B168" s="309"/>
      <c r="C168" s="213"/>
      <c r="D168" s="229"/>
    </row>
    <row r="169" spans="1:4" ht="13.8">
      <c r="A169" s="229"/>
      <c r="B169" s="309"/>
      <c r="C169" s="213"/>
      <c r="D169" s="229"/>
    </row>
    <row r="170" spans="1:4" ht="13.8">
      <c r="A170" s="229"/>
      <c r="B170" s="309"/>
      <c r="C170" s="213"/>
      <c r="D170" s="229"/>
    </row>
    <row r="171" spans="1:4" ht="13.8">
      <c r="A171" s="229"/>
      <c r="B171" s="309"/>
      <c r="C171" s="213"/>
      <c r="D171" s="229"/>
    </row>
    <row r="172" spans="1:4" ht="13.8">
      <c r="A172" s="229"/>
      <c r="B172" s="309"/>
      <c r="C172" s="213"/>
      <c r="D172" s="229"/>
    </row>
    <row r="173" spans="1:4" ht="13.8">
      <c r="A173" s="229"/>
      <c r="B173" s="309"/>
      <c r="C173" s="213"/>
      <c r="D173" s="229"/>
    </row>
    <row r="174" spans="1:4" ht="13.8">
      <c r="A174" s="229"/>
      <c r="B174" s="309"/>
      <c r="C174" s="213"/>
      <c r="D174" s="229"/>
    </row>
    <row r="175" spans="1:4" ht="13.8">
      <c r="A175" s="229"/>
      <c r="B175" s="309"/>
      <c r="C175" s="213"/>
      <c r="D175" s="229"/>
    </row>
    <row r="176" spans="1:4" ht="13.8">
      <c r="A176" s="229"/>
      <c r="B176" s="309"/>
      <c r="C176" s="213"/>
      <c r="D176" s="229"/>
    </row>
    <row r="177" spans="1:4" ht="13.8">
      <c r="A177" s="229"/>
      <c r="B177" s="309"/>
      <c r="C177" s="213"/>
      <c r="D177" s="229"/>
    </row>
    <row r="178" spans="1:4" ht="13.8">
      <c r="A178" s="229"/>
      <c r="B178" s="309"/>
      <c r="C178" s="213"/>
      <c r="D178" s="229"/>
    </row>
    <row r="179" spans="1:4" ht="13.8">
      <c r="A179" s="229"/>
      <c r="B179" s="309"/>
      <c r="C179" s="213"/>
      <c r="D179" s="229"/>
    </row>
    <row r="180" spans="1:4" ht="13.8">
      <c r="A180" s="229"/>
      <c r="B180" s="309"/>
      <c r="C180" s="213"/>
      <c r="D180" s="229"/>
    </row>
    <row r="181" spans="1:4" ht="13.8">
      <c r="A181" s="229"/>
      <c r="B181" s="309"/>
      <c r="C181" s="213"/>
      <c r="D181" s="229"/>
    </row>
    <row r="182" spans="1:4" ht="13.8">
      <c r="A182" s="229"/>
      <c r="B182" s="309"/>
      <c r="C182" s="213"/>
      <c r="D182" s="229"/>
    </row>
    <row r="183" spans="1:4" ht="13.8">
      <c r="A183" s="229"/>
      <c r="B183" s="309"/>
      <c r="C183" s="213"/>
      <c r="D183" s="229"/>
    </row>
    <row r="184" spans="1:4" ht="13.8">
      <c r="A184" s="229"/>
      <c r="B184" s="309"/>
      <c r="C184" s="213"/>
      <c r="D184" s="229"/>
    </row>
    <row r="185" spans="1:4" ht="13.8">
      <c r="A185" s="229"/>
      <c r="B185" s="309"/>
      <c r="C185" s="213"/>
      <c r="D185" s="229"/>
    </row>
    <row r="186" spans="1:4" ht="13.8">
      <c r="A186" s="229"/>
      <c r="B186" s="309"/>
      <c r="C186" s="213"/>
      <c r="D186" s="229"/>
    </row>
    <row r="187" spans="1:4" ht="13.8">
      <c r="A187" s="229"/>
      <c r="B187" s="309"/>
      <c r="C187" s="213"/>
      <c r="D187" s="229"/>
    </row>
    <row r="188" spans="1:4" ht="13.8">
      <c r="A188" s="229"/>
      <c r="B188" s="309"/>
      <c r="C188" s="213"/>
      <c r="D188" s="229"/>
    </row>
    <row r="189" spans="1:4" ht="13.8">
      <c r="A189" s="229"/>
      <c r="B189" s="309"/>
      <c r="C189" s="213"/>
      <c r="D189" s="229"/>
    </row>
    <row r="190" spans="1:4" ht="13.8">
      <c r="A190" s="229"/>
      <c r="B190" s="309"/>
      <c r="C190" s="213"/>
      <c r="D190" s="229"/>
    </row>
    <row r="191" spans="1:4" ht="13.8">
      <c r="A191" s="229"/>
      <c r="B191" s="309"/>
      <c r="C191" s="213"/>
      <c r="D191" s="229"/>
    </row>
    <row r="192" spans="1:4" ht="13.8">
      <c r="A192" s="229"/>
      <c r="B192" s="309"/>
      <c r="C192" s="213"/>
      <c r="D192" s="229"/>
    </row>
    <row r="193" spans="1:4" ht="13.8">
      <c r="A193" s="229"/>
      <c r="B193" s="309"/>
      <c r="C193" s="213"/>
      <c r="D193" s="229"/>
    </row>
    <row r="194" spans="1:4" ht="13.8">
      <c r="A194" s="229"/>
      <c r="B194" s="309"/>
      <c r="C194" s="213"/>
      <c r="D194" s="229"/>
    </row>
    <row r="195" spans="1:4" ht="13.8">
      <c r="A195" s="229"/>
      <c r="B195" s="309"/>
      <c r="C195" s="213"/>
      <c r="D195" s="229"/>
    </row>
    <row r="196" spans="1:4" ht="13.8">
      <c r="A196" s="229"/>
      <c r="B196" s="309"/>
      <c r="C196" s="213"/>
      <c r="D196" s="229"/>
    </row>
    <row r="197" spans="1:4" ht="13.8">
      <c r="A197" s="229"/>
      <c r="B197" s="309"/>
      <c r="C197" s="213"/>
      <c r="D197" s="229"/>
    </row>
    <row r="198" spans="1:4" ht="13.8">
      <c r="A198" s="229"/>
      <c r="B198" s="309"/>
      <c r="C198" s="213"/>
      <c r="D198" s="229"/>
    </row>
    <row r="199" spans="1:4" ht="13.8">
      <c r="A199" s="229"/>
      <c r="B199" s="309"/>
      <c r="C199" s="213"/>
      <c r="D199" s="229"/>
    </row>
    <row r="200" spans="1:4" ht="13.8">
      <c r="A200" s="229"/>
      <c r="B200" s="309"/>
      <c r="C200" s="213"/>
      <c r="D200" s="229"/>
    </row>
    <row r="201" spans="1:4" ht="13.8">
      <c r="A201" s="229"/>
      <c r="B201" s="309"/>
      <c r="C201" s="213"/>
      <c r="D201" s="229"/>
    </row>
    <row r="202" spans="1:4" ht="13.8">
      <c r="A202" s="229"/>
      <c r="B202" s="309"/>
      <c r="C202" s="213"/>
      <c r="D202" s="229"/>
    </row>
    <row r="203" spans="1:4" ht="13.8">
      <c r="A203" s="229"/>
      <c r="B203" s="309"/>
      <c r="C203" s="213"/>
      <c r="D203" s="229"/>
    </row>
    <row r="204" spans="1:4" ht="13.8">
      <c r="A204" s="229"/>
      <c r="B204" s="309"/>
      <c r="C204" s="213"/>
      <c r="D204" s="229"/>
    </row>
    <row r="205" spans="1:4" ht="13.8">
      <c r="A205" s="229"/>
      <c r="B205" s="309"/>
      <c r="C205" s="213"/>
      <c r="D205" s="229"/>
    </row>
    <row r="206" spans="1:4" ht="13.8">
      <c r="A206" s="229"/>
      <c r="B206" s="309"/>
      <c r="C206" s="213"/>
      <c r="D206" s="229"/>
    </row>
    <row r="207" spans="1:4" ht="13.8">
      <c r="A207" s="229"/>
      <c r="B207" s="309"/>
      <c r="C207" s="213"/>
      <c r="D207" s="229"/>
    </row>
    <row r="208" spans="1:4" ht="13.8">
      <c r="A208" s="229"/>
      <c r="B208" s="309"/>
      <c r="C208" s="213"/>
      <c r="D208" s="229"/>
    </row>
    <row r="209" spans="1:4" ht="13.8">
      <c r="A209" s="229"/>
      <c r="B209" s="309"/>
      <c r="C209" s="213"/>
      <c r="D209" s="229"/>
    </row>
    <row r="210" spans="1:4" ht="13.8">
      <c r="A210" s="229"/>
      <c r="B210" s="309"/>
      <c r="C210" s="213"/>
      <c r="D210" s="229"/>
    </row>
    <row r="211" spans="1:4" ht="13.8">
      <c r="A211" s="229"/>
      <c r="B211" s="309"/>
      <c r="C211" s="213"/>
      <c r="D211" s="229"/>
    </row>
    <row r="212" spans="1:4" ht="13.8">
      <c r="A212" s="229"/>
      <c r="B212" s="309"/>
      <c r="C212" s="213"/>
      <c r="D212" s="229"/>
    </row>
    <row r="213" spans="1:4" ht="13.8">
      <c r="A213" s="229"/>
      <c r="B213" s="309"/>
      <c r="C213" s="213"/>
      <c r="D213" s="229"/>
    </row>
    <row r="214" spans="1:4" ht="13.8">
      <c r="A214" s="229"/>
      <c r="B214" s="309"/>
      <c r="C214" s="213"/>
      <c r="D214" s="229"/>
    </row>
    <row r="215" spans="1:4" ht="13.8">
      <c r="A215" s="229"/>
      <c r="B215" s="309"/>
      <c r="C215" s="213"/>
      <c r="D215" s="229"/>
    </row>
    <row r="216" spans="1:4" ht="13.8">
      <c r="A216" s="229"/>
      <c r="B216" s="309"/>
      <c r="C216" s="213"/>
      <c r="D216" s="229"/>
    </row>
    <row r="217" spans="1:4" ht="13.8">
      <c r="A217" s="229"/>
      <c r="B217" s="309"/>
      <c r="C217" s="213"/>
      <c r="D217" s="229"/>
    </row>
    <row r="218" spans="1:4" ht="13.8">
      <c r="A218" s="229"/>
      <c r="B218" s="309"/>
      <c r="C218" s="213"/>
      <c r="D218" s="229"/>
    </row>
    <row r="219" spans="1:4" ht="13.8">
      <c r="A219" s="229"/>
      <c r="B219" s="309"/>
      <c r="C219" s="213"/>
      <c r="D219" s="229"/>
    </row>
    <row r="220" spans="1:4" ht="13.8">
      <c r="A220" s="229"/>
      <c r="B220" s="309"/>
      <c r="C220" s="213"/>
      <c r="D220" s="229"/>
    </row>
    <row r="221" spans="1:4" ht="13.8">
      <c r="A221" s="229"/>
      <c r="B221" s="309"/>
      <c r="C221" s="213"/>
      <c r="D221" s="229"/>
    </row>
    <row r="222" spans="1:4" ht="13.8">
      <c r="A222" s="229"/>
      <c r="B222" s="309"/>
      <c r="C222" s="213"/>
      <c r="D222" s="229"/>
    </row>
    <row r="223" spans="1:4" ht="13.8">
      <c r="A223" s="229"/>
      <c r="B223" s="309"/>
      <c r="C223" s="213"/>
      <c r="D223" s="229"/>
    </row>
    <row r="224" spans="1:4" ht="13.8">
      <c r="A224" s="229"/>
      <c r="B224" s="309"/>
      <c r="C224" s="213"/>
      <c r="D224" s="229"/>
    </row>
    <row r="225" spans="1:4" ht="13.8">
      <c r="A225" s="229"/>
      <c r="B225" s="309"/>
      <c r="C225" s="213"/>
      <c r="D225" s="229"/>
    </row>
    <row r="226" spans="1:4" ht="13.8">
      <c r="A226" s="229"/>
      <c r="B226" s="309"/>
      <c r="C226" s="213"/>
      <c r="D226" s="229"/>
    </row>
    <row r="227" spans="1:4" ht="13.8">
      <c r="A227" s="229"/>
      <c r="B227" s="309"/>
      <c r="C227" s="213"/>
      <c r="D227" s="229"/>
    </row>
    <row r="228" spans="1:4" ht="13.8">
      <c r="A228" s="229"/>
      <c r="B228" s="309"/>
      <c r="C228" s="213"/>
      <c r="D228" s="229"/>
    </row>
    <row r="229" spans="1:4" ht="13.8">
      <c r="A229" s="229"/>
      <c r="B229" s="309"/>
      <c r="C229" s="213"/>
      <c r="D229" s="229"/>
    </row>
    <row r="230" spans="1:4" ht="13.8">
      <c r="A230" s="229"/>
      <c r="B230" s="309"/>
      <c r="C230" s="213"/>
      <c r="D230" s="229"/>
    </row>
    <row r="231" spans="1:4" ht="13.8">
      <c r="A231" s="229"/>
      <c r="B231" s="309"/>
      <c r="C231" s="213"/>
      <c r="D231" s="229"/>
    </row>
    <row r="232" spans="1:4" ht="13.8">
      <c r="A232" s="229"/>
      <c r="B232" s="309"/>
      <c r="C232" s="213"/>
      <c r="D232" s="229"/>
    </row>
    <row r="233" spans="1:4" ht="13.8">
      <c r="A233" s="229"/>
      <c r="B233" s="309"/>
      <c r="C233" s="213"/>
      <c r="D233" s="229"/>
    </row>
    <row r="234" spans="1:4" ht="13.8">
      <c r="A234" s="229"/>
      <c r="B234" s="309"/>
      <c r="C234" s="213"/>
      <c r="D234" s="229"/>
    </row>
    <row r="235" spans="1:4" ht="13.8">
      <c r="A235" s="229"/>
      <c r="B235" s="309"/>
      <c r="C235" s="213"/>
      <c r="D235" s="229"/>
    </row>
    <row r="236" spans="1:4" ht="13.8">
      <c r="A236" s="229"/>
      <c r="B236" s="309"/>
      <c r="C236" s="213"/>
      <c r="D236" s="229"/>
    </row>
    <row r="237" spans="1:4" ht="13.8">
      <c r="A237" s="229"/>
      <c r="B237" s="309"/>
      <c r="C237" s="213"/>
      <c r="D237" s="229"/>
    </row>
    <row r="238" spans="1:4" ht="13.8">
      <c r="A238" s="229"/>
      <c r="B238" s="309"/>
      <c r="C238" s="213"/>
      <c r="D238" s="229"/>
    </row>
    <row r="239" spans="1:4" ht="13.8">
      <c r="A239" s="229"/>
      <c r="B239" s="309"/>
      <c r="C239" s="213"/>
      <c r="D239" s="229"/>
    </row>
    <row r="240" spans="1:4" ht="13.8">
      <c r="A240" s="229"/>
      <c r="B240" s="309"/>
      <c r="C240" s="213"/>
      <c r="D240" s="229"/>
    </row>
    <row r="241" spans="1:4" ht="13.8">
      <c r="A241" s="229"/>
      <c r="B241" s="309"/>
      <c r="C241" s="213"/>
      <c r="D241" s="229"/>
    </row>
    <row r="242" spans="1:4" ht="13.8">
      <c r="A242" s="229"/>
      <c r="B242" s="309"/>
      <c r="C242" s="213"/>
      <c r="D242" s="229"/>
    </row>
    <row r="243" spans="1:4" ht="13.8">
      <c r="A243" s="229"/>
      <c r="B243" s="309"/>
      <c r="C243" s="213"/>
      <c r="D243" s="229"/>
    </row>
    <row r="244" spans="1:4" ht="13.8">
      <c r="A244" s="229"/>
      <c r="B244" s="309"/>
      <c r="C244" s="213"/>
      <c r="D244" s="229"/>
    </row>
    <row r="245" spans="1:4" ht="13.8">
      <c r="A245" s="229"/>
      <c r="B245" s="309"/>
      <c r="C245" s="213"/>
      <c r="D245" s="229"/>
    </row>
    <row r="246" spans="1:4" ht="13.8">
      <c r="A246" s="229"/>
      <c r="B246" s="309"/>
      <c r="C246" s="213"/>
      <c r="D246" s="229"/>
    </row>
    <row r="247" spans="1:4" ht="13.8">
      <c r="A247" s="229"/>
      <c r="B247" s="309"/>
      <c r="C247" s="213"/>
      <c r="D247" s="229"/>
    </row>
    <row r="248" spans="1:4" ht="13.8">
      <c r="A248" s="229"/>
      <c r="B248" s="309"/>
      <c r="C248" s="213"/>
      <c r="D248" s="229"/>
    </row>
    <row r="249" spans="1:4" ht="13.8">
      <c r="A249" s="229"/>
      <c r="B249" s="309"/>
      <c r="C249" s="213"/>
      <c r="D249" s="229"/>
    </row>
    <row r="250" spans="1:4" ht="13.8">
      <c r="A250" s="229"/>
      <c r="B250" s="309"/>
      <c r="C250" s="213"/>
      <c r="D250" s="229"/>
    </row>
    <row r="251" spans="1:4" ht="13.8">
      <c r="A251" s="229"/>
      <c r="B251" s="309"/>
      <c r="C251" s="213"/>
      <c r="D251" s="229"/>
    </row>
    <row r="252" spans="1:4" ht="13.8">
      <c r="A252" s="229"/>
      <c r="B252" s="309"/>
      <c r="C252" s="213"/>
      <c r="D252" s="229"/>
    </row>
    <row r="253" spans="1:4" ht="13.8">
      <c r="A253" s="229"/>
      <c r="B253" s="309"/>
      <c r="C253" s="213"/>
      <c r="D253" s="229"/>
    </row>
    <row r="254" spans="1:4" ht="13.8">
      <c r="A254" s="229"/>
      <c r="B254" s="309"/>
      <c r="C254" s="213"/>
      <c r="D254" s="229"/>
    </row>
    <row r="255" spans="1:4" ht="13.8">
      <c r="A255" s="229"/>
      <c r="B255" s="309"/>
      <c r="C255" s="213"/>
      <c r="D255" s="229"/>
    </row>
    <row r="256" spans="1:4" ht="13.8">
      <c r="A256" s="229"/>
      <c r="B256" s="309"/>
      <c r="C256" s="213"/>
      <c r="D256" s="229"/>
    </row>
    <row r="257" spans="1:4" ht="13.8">
      <c r="A257" s="229"/>
      <c r="B257" s="309"/>
      <c r="C257" s="213"/>
      <c r="D257" s="229"/>
    </row>
    <row r="258" spans="1:4" ht="13.8">
      <c r="A258" s="229"/>
      <c r="B258" s="309"/>
      <c r="C258" s="213"/>
      <c r="D258" s="229"/>
    </row>
    <row r="259" spans="1:4" ht="13.8">
      <c r="A259" s="229"/>
      <c r="B259" s="309"/>
      <c r="C259" s="213"/>
      <c r="D259" s="229"/>
    </row>
    <row r="260" spans="1:4" ht="13.8">
      <c r="A260" s="229"/>
      <c r="B260" s="309"/>
      <c r="C260" s="213"/>
      <c r="D260" s="229"/>
    </row>
    <row r="261" spans="1:4" ht="13.8">
      <c r="A261" s="229"/>
      <c r="B261" s="309"/>
      <c r="C261" s="213"/>
      <c r="D261" s="229"/>
    </row>
    <row r="262" spans="1:4" ht="13.8">
      <c r="A262" s="229"/>
      <c r="B262" s="309"/>
      <c r="C262" s="213"/>
      <c r="D262" s="229"/>
    </row>
    <row r="263" spans="1:4" ht="13.8">
      <c r="A263" s="229"/>
      <c r="B263" s="309"/>
      <c r="C263" s="213"/>
      <c r="D263" s="229"/>
    </row>
    <row r="264" spans="1:4" ht="13.8">
      <c r="A264" s="229"/>
      <c r="B264" s="309"/>
      <c r="C264" s="213"/>
      <c r="D264" s="229"/>
    </row>
    <row r="265" spans="1:4" ht="13.8">
      <c r="A265" s="229"/>
      <c r="B265" s="309"/>
      <c r="C265" s="213"/>
      <c r="D265" s="229"/>
    </row>
    <row r="266" spans="1:4" ht="13.8">
      <c r="A266" s="229"/>
      <c r="B266" s="309"/>
      <c r="C266" s="213"/>
      <c r="D266" s="229"/>
    </row>
    <row r="267" spans="1:4" ht="13.8">
      <c r="A267" s="229"/>
      <c r="B267" s="309"/>
      <c r="C267" s="213"/>
      <c r="D267" s="229"/>
    </row>
    <row r="268" spans="1:4" ht="13.8">
      <c r="A268" s="229"/>
      <c r="B268" s="309"/>
      <c r="C268" s="213"/>
      <c r="D268" s="229"/>
    </row>
    <row r="269" spans="1:4" ht="13.8">
      <c r="A269" s="229"/>
      <c r="B269" s="309"/>
      <c r="C269" s="213"/>
      <c r="D269" s="229"/>
    </row>
    <row r="270" spans="1:4" ht="13.8">
      <c r="A270" s="229"/>
      <c r="B270" s="309"/>
      <c r="C270" s="213"/>
      <c r="D270" s="229"/>
    </row>
    <row r="271" spans="1:4" ht="13.8">
      <c r="A271" s="229"/>
      <c r="B271" s="309"/>
      <c r="C271" s="213"/>
      <c r="D271" s="229"/>
    </row>
    <row r="272" spans="1:4" ht="13.8">
      <c r="A272" s="229"/>
      <c r="B272" s="309"/>
      <c r="C272" s="213"/>
      <c r="D272" s="229"/>
    </row>
    <row r="273" spans="1:4" ht="13.8">
      <c r="A273" s="229"/>
      <c r="B273" s="309"/>
      <c r="C273" s="213"/>
      <c r="D273" s="229"/>
    </row>
    <row r="274" spans="1:4" ht="13.8">
      <c r="A274" s="229"/>
      <c r="B274" s="309"/>
      <c r="C274" s="213"/>
      <c r="D274" s="229"/>
    </row>
    <row r="275" spans="1:4" ht="13.8">
      <c r="A275" s="229"/>
      <c r="B275" s="309"/>
      <c r="C275" s="213"/>
      <c r="D275" s="229"/>
    </row>
    <row r="276" spans="1:4" ht="13.8">
      <c r="A276" s="229"/>
      <c r="B276" s="309"/>
      <c r="C276" s="213"/>
      <c r="D276" s="229"/>
    </row>
    <row r="277" spans="1:4" ht="13.8">
      <c r="A277" s="229"/>
      <c r="B277" s="309"/>
      <c r="C277" s="213"/>
      <c r="D277" s="229"/>
    </row>
    <row r="278" spans="1:4" ht="13.8">
      <c r="A278" s="229"/>
      <c r="B278" s="309"/>
      <c r="C278" s="213"/>
      <c r="D278" s="229"/>
    </row>
    <row r="279" spans="1:4" ht="13.8">
      <c r="A279" s="229"/>
      <c r="B279" s="309"/>
      <c r="C279" s="213"/>
      <c r="D279" s="229"/>
    </row>
    <row r="280" spans="1:4" ht="13.8">
      <c r="A280" s="229"/>
      <c r="B280" s="309"/>
      <c r="C280" s="213"/>
      <c r="D280" s="229"/>
    </row>
    <row r="281" spans="1:4" ht="13.8">
      <c r="A281" s="229"/>
      <c r="B281" s="309"/>
      <c r="C281" s="213"/>
      <c r="D281" s="229"/>
    </row>
    <row r="282" spans="1:4" ht="13.8">
      <c r="A282" s="229"/>
      <c r="B282" s="309"/>
      <c r="C282" s="213"/>
      <c r="D282" s="229"/>
    </row>
    <row r="283" spans="1:4" ht="13.8">
      <c r="A283" s="229"/>
      <c r="B283" s="309"/>
      <c r="C283" s="213"/>
      <c r="D283" s="229"/>
    </row>
    <row r="284" spans="1:4" ht="13.8">
      <c r="A284" s="229"/>
      <c r="B284" s="309"/>
      <c r="C284" s="213"/>
      <c r="D284" s="229"/>
    </row>
    <row r="285" spans="1:4" ht="13.8">
      <c r="A285" s="229"/>
      <c r="B285" s="309"/>
      <c r="C285" s="213"/>
      <c r="D285" s="229"/>
    </row>
    <row r="286" spans="1:4" ht="13.8">
      <c r="A286" s="229"/>
      <c r="B286" s="309"/>
      <c r="C286" s="213"/>
      <c r="D286" s="229"/>
    </row>
    <row r="287" spans="1:4" ht="13.8">
      <c r="A287" s="229"/>
      <c r="B287" s="309"/>
      <c r="C287" s="213"/>
      <c r="D287" s="229"/>
    </row>
    <row r="288" spans="1:4" ht="13.8">
      <c r="A288" s="229"/>
      <c r="B288" s="309"/>
      <c r="C288" s="213"/>
      <c r="D288" s="229"/>
    </row>
    <row r="289" spans="1:4" ht="13.8">
      <c r="A289" s="229"/>
      <c r="B289" s="309"/>
      <c r="C289" s="213"/>
      <c r="D289" s="229"/>
    </row>
    <row r="290" spans="1:4" ht="13.8">
      <c r="A290" s="229"/>
      <c r="B290" s="309"/>
      <c r="C290" s="213"/>
      <c r="D290" s="229"/>
    </row>
    <row r="291" spans="1:4" ht="13.8">
      <c r="A291" s="229"/>
      <c r="B291" s="309"/>
      <c r="C291" s="213"/>
      <c r="D291" s="229"/>
    </row>
    <row r="292" spans="1:4" ht="13.8">
      <c r="A292" s="229"/>
      <c r="B292" s="309"/>
      <c r="C292" s="213"/>
      <c r="D292" s="229"/>
    </row>
    <row r="293" spans="1:4" ht="13.8">
      <c r="A293" s="229"/>
      <c r="B293" s="309"/>
      <c r="C293" s="213"/>
      <c r="D293" s="229"/>
    </row>
    <row r="294" spans="1:4" ht="13.8">
      <c r="A294" s="229"/>
      <c r="B294" s="309"/>
      <c r="C294" s="213"/>
      <c r="D294" s="229"/>
    </row>
    <row r="295" spans="1:4" ht="13.8">
      <c r="A295" s="229"/>
      <c r="B295" s="309"/>
      <c r="C295" s="213"/>
      <c r="D295" s="229"/>
    </row>
    <row r="296" spans="1:4" ht="13.8">
      <c r="A296" s="229"/>
      <c r="B296" s="309"/>
      <c r="C296" s="213"/>
      <c r="D296" s="229"/>
    </row>
    <row r="297" spans="1:4" ht="13.8">
      <c r="A297" s="229"/>
      <c r="B297" s="309"/>
      <c r="C297" s="213"/>
      <c r="D297" s="229"/>
    </row>
    <row r="298" spans="1:4" ht="13.8">
      <c r="A298" s="229"/>
      <c r="B298" s="309"/>
      <c r="C298" s="213"/>
      <c r="D298" s="229"/>
    </row>
    <row r="299" spans="1:4" ht="13.8">
      <c r="A299" s="229"/>
      <c r="B299" s="309"/>
      <c r="C299" s="213"/>
      <c r="D299" s="229"/>
    </row>
    <row r="300" spans="1:4" ht="13.8">
      <c r="A300" s="229"/>
      <c r="B300" s="309"/>
      <c r="C300" s="213"/>
      <c r="D300" s="229"/>
    </row>
    <row r="301" spans="1:4" ht="13.8">
      <c r="A301" s="229"/>
      <c r="B301" s="309"/>
      <c r="C301" s="213"/>
      <c r="D301" s="229"/>
    </row>
    <row r="302" spans="1:4" ht="13.8">
      <c r="A302" s="229"/>
      <c r="B302" s="309"/>
      <c r="C302" s="213"/>
      <c r="D302" s="229"/>
    </row>
    <row r="303" spans="1:4" ht="13.8">
      <c r="A303" s="229"/>
      <c r="B303" s="309"/>
      <c r="C303" s="213"/>
      <c r="D303" s="229"/>
    </row>
    <row r="304" spans="1:4" ht="13.8">
      <c r="A304" s="229"/>
      <c r="B304" s="309"/>
      <c r="C304" s="213"/>
      <c r="D304" s="229"/>
    </row>
    <row r="305" spans="1:4" ht="13.8">
      <c r="A305" s="229"/>
      <c r="B305" s="309"/>
      <c r="C305" s="213"/>
      <c r="D305" s="229"/>
    </row>
    <row r="306" spans="1:4" ht="13.8">
      <c r="A306" s="229"/>
      <c r="B306" s="309"/>
      <c r="C306" s="213"/>
      <c r="D306" s="229"/>
    </row>
    <row r="307" spans="1:4" ht="13.8">
      <c r="A307" s="229"/>
      <c r="B307" s="309"/>
      <c r="C307" s="213"/>
      <c r="D307" s="229"/>
    </row>
    <row r="308" spans="1:4" ht="13.8">
      <c r="A308" s="229"/>
      <c r="B308" s="309"/>
      <c r="C308" s="213"/>
      <c r="D308" s="229"/>
    </row>
    <row r="309" spans="1:4" ht="13.8">
      <c r="A309" s="229"/>
      <c r="B309" s="309"/>
      <c r="C309" s="213"/>
      <c r="D309" s="229"/>
    </row>
    <row r="310" spans="1:4" ht="13.8">
      <c r="A310" s="229"/>
      <c r="B310" s="309"/>
      <c r="C310" s="213"/>
      <c r="D310" s="229"/>
    </row>
    <row r="311" spans="1:4" ht="13.8">
      <c r="A311" s="229"/>
      <c r="B311" s="309"/>
      <c r="C311" s="213"/>
      <c r="D311" s="229"/>
    </row>
    <row r="312" spans="1:4" ht="13.8">
      <c r="A312" s="229"/>
      <c r="B312" s="309"/>
      <c r="C312" s="213"/>
      <c r="D312" s="229"/>
    </row>
    <row r="313" spans="1:4" ht="13.8">
      <c r="A313" s="229"/>
      <c r="B313" s="309"/>
      <c r="C313" s="213"/>
      <c r="D313" s="229"/>
    </row>
    <row r="314" spans="1:4" ht="13.8">
      <c r="A314" s="229"/>
      <c r="B314" s="309"/>
      <c r="C314" s="213"/>
      <c r="D314" s="229"/>
    </row>
    <row r="315" spans="1:4" ht="13.8">
      <c r="A315" s="229"/>
      <c r="B315" s="309"/>
      <c r="C315" s="213"/>
      <c r="D315" s="229"/>
    </row>
    <row r="316" spans="1:4" ht="13.8">
      <c r="A316" s="229"/>
      <c r="B316" s="309"/>
      <c r="C316" s="213"/>
      <c r="D316" s="229"/>
    </row>
    <row r="317" spans="1:4" ht="13.8">
      <c r="A317" s="229"/>
      <c r="B317" s="309"/>
      <c r="C317" s="213"/>
      <c r="D317" s="229"/>
    </row>
    <row r="318" spans="1:4" ht="13.8">
      <c r="A318" s="229"/>
      <c r="B318" s="309"/>
      <c r="C318" s="213"/>
      <c r="D318" s="229"/>
    </row>
    <row r="319" spans="1:4" ht="13.8">
      <c r="A319" s="229"/>
      <c r="B319" s="309"/>
      <c r="C319" s="213"/>
      <c r="D319" s="229"/>
    </row>
    <row r="320" spans="1:4" ht="13.8">
      <c r="A320" s="229"/>
      <c r="B320" s="309"/>
      <c r="C320" s="213"/>
      <c r="D320" s="229"/>
    </row>
    <row r="321" spans="1:4" ht="13.8">
      <c r="A321" s="229"/>
      <c r="B321" s="309"/>
      <c r="C321" s="213"/>
      <c r="D321" s="229"/>
    </row>
    <row r="322" spans="1:4" ht="13.8">
      <c r="A322" s="229"/>
      <c r="B322" s="309"/>
      <c r="C322" s="213"/>
      <c r="D322" s="229"/>
    </row>
    <row r="323" spans="1:4" ht="13.8">
      <c r="A323" s="229"/>
      <c r="B323" s="309"/>
      <c r="C323" s="213"/>
      <c r="D323" s="229"/>
    </row>
    <row r="324" spans="1:4" ht="13.8">
      <c r="A324" s="229"/>
      <c r="B324" s="309"/>
      <c r="C324" s="213"/>
      <c r="D324" s="229"/>
    </row>
    <row r="325" spans="1:4" ht="13.8">
      <c r="A325" s="229"/>
      <c r="B325" s="309"/>
      <c r="C325" s="213"/>
      <c r="D325" s="229"/>
    </row>
    <row r="326" spans="1:4" ht="13.8">
      <c r="A326" s="229"/>
      <c r="B326" s="309"/>
      <c r="C326" s="213"/>
      <c r="D326" s="229"/>
    </row>
    <row r="327" spans="1:4" ht="13.8">
      <c r="A327" s="229"/>
      <c r="B327" s="309"/>
      <c r="C327" s="213"/>
      <c r="D327" s="229"/>
    </row>
    <row r="328" spans="1:4" ht="13.8">
      <c r="A328" s="229"/>
      <c r="B328" s="309"/>
      <c r="C328" s="213"/>
      <c r="D328" s="229"/>
    </row>
    <row r="329" spans="1:4" ht="13.8">
      <c r="A329" s="229"/>
      <c r="B329" s="309"/>
      <c r="C329" s="213"/>
      <c r="D329" s="229"/>
    </row>
    <row r="330" spans="1:4" ht="13.8">
      <c r="A330" s="229"/>
      <c r="B330" s="309"/>
      <c r="C330" s="213"/>
      <c r="D330" s="229"/>
    </row>
    <row r="331" spans="1:4" ht="13.8">
      <c r="A331" s="229"/>
      <c r="B331" s="309"/>
      <c r="C331" s="213"/>
      <c r="D331" s="229"/>
    </row>
    <row r="332" spans="1:4" ht="13.8">
      <c r="A332" s="229"/>
      <c r="B332" s="309"/>
      <c r="C332" s="213"/>
      <c r="D332" s="229"/>
    </row>
    <row r="333" spans="1:4" ht="13.8">
      <c r="A333" s="229"/>
      <c r="B333" s="309"/>
      <c r="C333" s="213"/>
      <c r="D333" s="229"/>
    </row>
    <row r="334" spans="1:4" ht="13.8">
      <c r="A334" s="229"/>
      <c r="B334" s="309"/>
      <c r="C334" s="213"/>
      <c r="D334" s="229"/>
    </row>
    <row r="335" spans="1:4" ht="13.8">
      <c r="A335" s="229"/>
      <c r="B335" s="309"/>
      <c r="C335" s="213"/>
      <c r="D335" s="229"/>
    </row>
    <row r="336" spans="1:4" ht="13.8">
      <c r="A336" s="229"/>
      <c r="B336" s="309"/>
      <c r="C336" s="213"/>
      <c r="D336" s="229"/>
    </row>
    <row r="337" spans="1:4" ht="13.8">
      <c r="A337" s="229"/>
      <c r="B337" s="309"/>
      <c r="C337" s="213"/>
      <c r="D337" s="229"/>
    </row>
    <row r="338" spans="1:4" ht="13.8">
      <c r="A338" s="229"/>
      <c r="B338" s="309"/>
      <c r="C338" s="213"/>
      <c r="D338" s="229"/>
    </row>
    <row r="339" spans="1:4" ht="13.8">
      <c r="A339" s="229"/>
      <c r="B339" s="309"/>
      <c r="C339" s="213"/>
      <c r="D339" s="229"/>
    </row>
    <row r="340" spans="1:4" ht="13.8">
      <c r="A340" s="229"/>
      <c r="B340" s="309"/>
      <c r="C340" s="213"/>
      <c r="D340" s="229"/>
    </row>
    <row r="341" spans="1:4" ht="13.8">
      <c r="A341" s="229"/>
      <c r="B341" s="309"/>
      <c r="C341" s="213"/>
      <c r="D341" s="229"/>
    </row>
    <row r="342" spans="1:4" ht="13.8">
      <c r="A342" s="229"/>
      <c r="B342" s="309"/>
      <c r="C342" s="213"/>
      <c r="D342" s="229"/>
    </row>
    <row r="343" spans="1:4" ht="13.8">
      <c r="A343" s="229"/>
      <c r="B343" s="309"/>
      <c r="C343" s="213"/>
      <c r="D343" s="229"/>
    </row>
    <row r="344" spans="1:4" ht="13.8">
      <c r="A344" s="229"/>
      <c r="B344" s="309"/>
      <c r="C344" s="213"/>
      <c r="D344" s="229"/>
    </row>
    <row r="345" spans="1:4" ht="13.8">
      <c r="A345" s="229"/>
      <c r="B345" s="309"/>
      <c r="C345" s="213"/>
      <c r="D345" s="229"/>
    </row>
    <row r="346" spans="1:4" ht="13.8">
      <c r="A346" s="229"/>
      <c r="B346" s="309"/>
      <c r="C346" s="213"/>
      <c r="D346" s="229"/>
    </row>
    <row r="347" spans="1:4" ht="13.8">
      <c r="A347" s="229"/>
      <c r="B347" s="309"/>
      <c r="C347" s="213"/>
      <c r="D347" s="229"/>
    </row>
    <row r="348" spans="1:4" ht="13.8">
      <c r="A348" s="229"/>
      <c r="B348" s="309"/>
      <c r="C348" s="213"/>
      <c r="D348" s="229"/>
    </row>
    <row r="349" spans="1:4" ht="13.8">
      <c r="A349" s="229"/>
      <c r="B349" s="309"/>
      <c r="C349" s="213"/>
      <c r="D349" s="229"/>
    </row>
    <row r="350" spans="1:4" ht="13.8">
      <c r="A350" s="229"/>
      <c r="B350" s="309"/>
      <c r="C350" s="213"/>
      <c r="D350" s="229"/>
    </row>
    <row r="351" spans="1:4" ht="13.8">
      <c r="A351" s="229"/>
      <c r="B351" s="309"/>
      <c r="C351" s="213"/>
      <c r="D351" s="229"/>
    </row>
    <row r="352" spans="1:4" ht="13.8">
      <c r="A352" s="229"/>
      <c r="B352" s="309"/>
      <c r="C352" s="213"/>
      <c r="D352" s="229"/>
    </row>
    <row r="353" spans="1:4" ht="13.8">
      <c r="A353" s="229"/>
      <c r="B353" s="309"/>
      <c r="C353" s="213"/>
      <c r="D353" s="229"/>
    </row>
    <row r="354" spans="1:4" ht="13.8">
      <c r="A354" s="229"/>
      <c r="B354" s="309"/>
      <c r="C354" s="213"/>
      <c r="D354" s="229"/>
    </row>
    <row r="355" spans="1:4" ht="13.8">
      <c r="A355" s="229"/>
      <c r="B355" s="309"/>
      <c r="C355" s="213"/>
      <c r="D355" s="229"/>
    </row>
    <row r="356" spans="1:4" ht="13.8">
      <c r="A356" s="229"/>
      <c r="B356" s="309"/>
      <c r="C356" s="213"/>
      <c r="D356" s="229"/>
    </row>
    <row r="357" spans="1:4" ht="13.8">
      <c r="A357" s="229"/>
      <c r="B357" s="309"/>
      <c r="C357" s="213"/>
      <c r="D357" s="229"/>
    </row>
    <row r="358" spans="1:4" ht="13.8">
      <c r="A358" s="229"/>
      <c r="B358" s="309"/>
      <c r="C358" s="213"/>
      <c r="D358" s="229"/>
    </row>
    <row r="359" spans="1:4" ht="13.8">
      <c r="A359" s="229"/>
      <c r="B359" s="309"/>
      <c r="C359" s="213"/>
      <c r="D359" s="229"/>
    </row>
    <row r="360" spans="1:4" ht="13.8">
      <c r="A360" s="229"/>
      <c r="B360" s="309"/>
      <c r="C360" s="213"/>
      <c r="D360" s="229"/>
    </row>
    <row r="361" spans="1:4" ht="13.8">
      <c r="A361" s="229"/>
      <c r="B361" s="309"/>
      <c r="C361" s="213"/>
      <c r="D361" s="229"/>
    </row>
    <row r="362" spans="1:4" ht="13.8">
      <c r="A362" s="229"/>
      <c r="B362" s="309"/>
      <c r="C362" s="213"/>
      <c r="D362" s="229"/>
    </row>
    <row r="363" spans="1:4" ht="13.8">
      <c r="A363" s="229"/>
      <c r="B363" s="309"/>
      <c r="C363" s="213"/>
      <c r="D363" s="229"/>
    </row>
    <row r="364" spans="1:4" ht="13.8">
      <c r="A364" s="229"/>
      <c r="B364" s="309"/>
      <c r="C364" s="213"/>
      <c r="D364" s="229"/>
    </row>
    <row r="365" spans="1:4" ht="13.8">
      <c r="A365" s="229"/>
      <c r="B365" s="309"/>
      <c r="C365" s="213"/>
      <c r="D365" s="229"/>
    </row>
    <row r="366" spans="1:4" ht="13.8">
      <c r="A366" s="229"/>
      <c r="B366" s="309"/>
      <c r="C366" s="213"/>
      <c r="D366" s="229"/>
    </row>
    <row r="367" spans="1:4" ht="13.8">
      <c r="A367" s="229"/>
      <c r="B367" s="309"/>
      <c r="C367" s="213"/>
      <c r="D367" s="229"/>
    </row>
    <row r="368" spans="1:4" ht="13.8">
      <c r="A368" s="229"/>
      <c r="B368" s="309"/>
      <c r="C368" s="213"/>
      <c r="D368" s="229"/>
    </row>
    <row r="369" spans="1:4" ht="13.8">
      <c r="A369" s="229"/>
      <c r="B369" s="309"/>
      <c r="C369" s="213"/>
      <c r="D369" s="229"/>
    </row>
    <row r="370" spans="1:4" ht="13.8">
      <c r="A370" s="229"/>
      <c r="B370" s="309"/>
      <c r="C370" s="213"/>
      <c r="D370" s="229"/>
    </row>
    <row r="371" spans="1:4" ht="13.8">
      <c r="A371" s="229"/>
      <c r="B371" s="309"/>
      <c r="C371" s="213"/>
      <c r="D371" s="229"/>
    </row>
    <row r="372" spans="1:4" ht="13.8">
      <c r="A372" s="229"/>
      <c r="B372" s="309"/>
      <c r="C372" s="213"/>
      <c r="D372" s="229"/>
    </row>
    <row r="373" spans="1:4" ht="13.8">
      <c r="A373" s="229"/>
      <c r="B373" s="309"/>
      <c r="C373" s="213"/>
      <c r="D373" s="229"/>
    </row>
    <row r="374" spans="1:4" ht="13.8">
      <c r="A374" s="229"/>
      <c r="B374" s="309"/>
      <c r="C374" s="213"/>
      <c r="D374" s="229"/>
    </row>
    <row r="375" spans="1:4" ht="13.8">
      <c r="A375" s="229"/>
      <c r="B375" s="309"/>
      <c r="C375" s="213"/>
      <c r="D375" s="229"/>
    </row>
    <row r="376" spans="1:4" ht="13.8">
      <c r="A376" s="229"/>
      <c r="B376" s="309"/>
      <c r="C376" s="213"/>
      <c r="D376" s="229"/>
    </row>
    <row r="377" spans="1:4" ht="13.8">
      <c r="A377" s="229"/>
      <c r="B377" s="309"/>
      <c r="C377" s="213"/>
      <c r="D377" s="229"/>
    </row>
    <row r="378" spans="1:4" ht="13.8">
      <c r="A378" s="229"/>
      <c r="B378" s="309"/>
      <c r="C378" s="213"/>
      <c r="D378" s="229"/>
    </row>
    <row r="379" spans="1:4" ht="13.8">
      <c r="A379" s="229"/>
      <c r="B379" s="309"/>
      <c r="C379" s="213"/>
      <c r="D379" s="229"/>
    </row>
    <row r="380" spans="1:4" ht="13.8">
      <c r="A380" s="229"/>
      <c r="B380" s="309"/>
      <c r="C380" s="213"/>
      <c r="D380" s="229"/>
    </row>
    <row r="381" spans="1:4" ht="13.8">
      <c r="A381" s="229"/>
      <c r="B381" s="309"/>
      <c r="C381" s="213"/>
      <c r="D381" s="229"/>
    </row>
    <row r="382" spans="1:4" ht="13.8">
      <c r="A382" s="229"/>
      <c r="B382" s="309"/>
      <c r="C382" s="213"/>
      <c r="D382" s="229"/>
    </row>
    <row r="383" spans="1:4" ht="13.8">
      <c r="A383" s="229"/>
      <c r="B383" s="309"/>
      <c r="C383" s="213"/>
      <c r="D383" s="229"/>
    </row>
    <row r="384" spans="1:4" ht="13.8">
      <c r="A384" s="229"/>
      <c r="B384" s="309"/>
      <c r="C384" s="213"/>
      <c r="D384" s="229"/>
    </row>
    <row r="385" spans="1:4" ht="13.8">
      <c r="A385" s="229"/>
      <c r="B385" s="309"/>
      <c r="C385" s="213"/>
      <c r="D385" s="229"/>
    </row>
    <row r="386" spans="1:4" ht="13.8">
      <c r="A386" s="229"/>
      <c r="B386" s="309"/>
      <c r="C386" s="213"/>
      <c r="D386" s="229"/>
    </row>
    <row r="387" spans="1:4" ht="13.8">
      <c r="A387" s="229"/>
      <c r="B387" s="309"/>
      <c r="C387" s="213"/>
      <c r="D387" s="229"/>
    </row>
    <row r="388" spans="1:4" ht="13.8">
      <c r="A388" s="229"/>
      <c r="B388" s="309"/>
      <c r="C388" s="213"/>
      <c r="D388" s="229"/>
    </row>
    <row r="389" spans="1:4" ht="13.8">
      <c r="A389" s="229"/>
      <c r="B389" s="309"/>
      <c r="C389" s="213"/>
      <c r="D389" s="229"/>
    </row>
    <row r="390" spans="1:4" ht="13.8">
      <c r="A390" s="229"/>
      <c r="B390" s="309"/>
      <c r="C390" s="213"/>
      <c r="D390" s="229"/>
    </row>
    <row r="391" spans="1:4" ht="13.8">
      <c r="A391" s="229"/>
      <c r="B391" s="309"/>
      <c r="C391" s="213"/>
      <c r="D391" s="229"/>
    </row>
    <row r="392" spans="1:4" ht="13.8">
      <c r="A392" s="229"/>
      <c r="B392" s="309"/>
      <c r="C392" s="213"/>
      <c r="D392" s="229"/>
    </row>
    <row r="393" spans="1:4" ht="13.8">
      <c r="A393" s="229"/>
      <c r="B393" s="309"/>
      <c r="C393" s="213"/>
      <c r="D393" s="229"/>
    </row>
    <row r="394" spans="1:4" ht="13.8">
      <c r="A394" s="229"/>
      <c r="B394" s="309"/>
      <c r="C394" s="213"/>
      <c r="D394" s="229"/>
    </row>
    <row r="395" spans="1:4" ht="13.8">
      <c r="A395" s="229"/>
      <c r="B395" s="309"/>
      <c r="C395" s="213"/>
      <c r="D395" s="229"/>
    </row>
    <row r="396" spans="1:4" ht="13.8">
      <c r="A396" s="229"/>
      <c r="B396" s="309"/>
      <c r="C396" s="213"/>
      <c r="D396" s="229"/>
    </row>
    <row r="397" spans="1:4" ht="13.8">
      <c r="A397" s="229"/>
      <c r="B397" s="309"/>
      <c r="C397" s="213"/>
      <c r="D397" s="229"/>
    </row>
    <row r="398" spans="1:4" ht="13.8">
      <c r="A398" s="229"/>
      <c r="B398" s="309"/>
      <c r="C398" s="213"/>
      <c r="D398" s="229"/>
    </row>
    <row r="399" spans="1:4" ht="13.8">
      <c r="A399" s="229"/>
      <c r="B399" s="309"/>
      <c r="C399" s="213"/>
      <c r="D399" s="229"/>
    </row>
    <row r="400" spans="1:4" ht="13.8">
      <c r="A400" s="229"/>
      <c r="B400" s="309"/>
      <c r="C400" s="213"/>
      <c r="D400" s="229"/>
    </row>
    <row r="401" spans="1:4" ht="13.8">
      <c r="A401" s="229"/>
      <c r="B401" s="309"/>
      <c r="C401" s="213"/>
      <c r="D401" s="229"/>
    </row>
    <row r="402" spans="1:4" ht="13.8">
      <c r="A402" s="229"/>
      <c r="B402" s="309"/>
      <c r="C402" s="213"/>
      <c r="D402" s="229"/>
    </row>
    <row r="403" spans="1:4" ht="13.8">
      <c r="A403" s="229"/>
      <c r="B403" s="309"/>
      <c r="C403" s="213"/>
      <c r="D403" s="229"/>
    </row>
    <row r="404" spans="1:4" ht="13.8">
      <c r="A404" s="229"/>
      <c r="B404" s="309"/>
      <c r="C404" s="213"/>
      <c r="D404" s="229"/>
    </row>
    <row r="405" spans="1:4" ht="13.8">
      <c r="A405" s="229"/>
      <c r="B405" s="309"/>
      <c r="C405" s="213"/>
      <c r="D405" s="229"/>
    </row>
    <row r="406" spans="1:4" ht="13.8">
      <c r="A406" s="229"/>
      <c r="B406" s="309"/>
      <c r="C406" s="213"/>
      <c r="D406" s="229"/>
    </row>
    <row r="407" spans="1:4" ht="13.8">
      <c r="A407" s="229"/>
      <c r="B407" s="309"/>
      <c r="C407" s="213"/>
      <c r="D407" s="229"/>
    </row>
    <row r="408" spans="1:4" ht="13.8">
      <c r="A408" s="229"/>
      <c r="B408" s="309"/>
      <c r="C408" s="213"/>
      <c r="D408" s="229"/>
    </row>
    <row r="409" spans="1:4" ht="13.8">
      <c r="A409" s="229"/>
      <c r="B409" s="309"/>
      <c r="C409" s="213"/>
      <c r="D409" s="229"/>
    </row>
    <row r="410" spans="1:4" ht="13.8">
      <c r="A410" s="229"/>
      <c r="B410" s="309"/>
      <c r="C410" s="213"/>
      <c r="D410" s="229"/>
    </row>
    <row r="411" spans="1:4" ht="13.8">
      <c r="A411" s="229"/>
      <c r="B411" s="309"/>
      <c r="C411" s="213"/>
      <c r="D411" s="229"/>
    </row>
    <row r="412" spans="1:4" ht="13.8">
      <c r="A412" s="229"/>
      <c r="B412" s="309"/>
      <c r="C412" s="213"/>
      <c r="D412" s="229"/>
    </row>
    <row r="413" spans="1:4" ht="13.8">
      <c r="A413" s="229"/>
      <c r="B413" s="309"/>
      <c r="C413" s="213"/>
      <c r="D413" s="229"/>
    </row>
    <row r="414" spans="1:4" ht="13.8">
      <c r="A414" s="229"/>
      <c r="B414" s="309"/>
      <c r="C414" s="213"/>
      <c r="D414" s="229"/>
    </row>
    <row r="415" spans="1:4" ht="13.8">
      <c r="A415" s="229"/>
      <c r="B415" s="309"/>
      <c r="C415" s="213"/>
      <c r="D415" s="229"/>
    </row>
    <row r="416" spans="1:4" ht="13.8">
      <c r="A416" s="229"/>
      <c r="B416" s="309"/>
      <c r="C416" s="213"/>
      <c r="D416" s="229"/>
    </row>
    <row r="417" spans="1:4" ht="13.8">
      <c r="A417" s="229"/>
      <c r="B417" s="309"/>
      <c r="C417" s="213"/>
      <c r="D417" s="229"/>
    </row>
    <row r="418" spans="1:4" ht="13.8">
      <c r="A418" s="229"/>
      <c r="B418" s="309"/>
      <c r="C418" s="213"/>
      <c r="D418" s="229"/>
    </row>
    <row r="419" spans="1:4" ht="13.8">
      <c r="A419" s="229"/>
      <c r="B419" s="309"/>
      <c r="C419" s="213"/>
      <c r="D419" s="229"/>
    </row>
    <row r="420" spans="1:4" ht="13.8">
      <c r="A420" s="229"/>
      <c r="B420" s="309"/>
      <c r="C420" s="213"/>
      <c r="D420" s="229"/>
    </row>
    <row r="421" spans="1:4" ht="13.8">
      <c r="A421" s="229"/>
      <c r="B421" s="309"/>
      <c r="C421" s="213"/>
      <c r="D421" s="229"/>
    </row>
    <row r="422" spans="1:4" ht="13.8">
      <c r="A422" s="229"/>
      <c r="B422" s="309"/>
      <c r="C422" s="213"/>
      <c r="D422" s="229"/>
    </row>
    <row r="423" spans="1:4" ht="13.8">
      <c r="A423" s="229"/>
      <c r="B423" s="309"/>
      <c r="C423" s="213"/>
      <c r="D423" s="229"/>
    </row>
    <row r="424" spans="1:4" ht="13.8">
      <c r="A424" s="229"/>
      <c r="B424" s="309"/>
      <c r="C424" s="213"/>
      <c r="D424" s="229"/>
    </row>
    <row r="425" spans="1:4" ht="13.8">
      <c r="A425" s="229"/>
      <c r="B425" s="309"/>
      <c r="C425" s="213"/>
      <c r="D425" s="229"/>
    </row>
    <row r="426" spans="1:4" ht="13.8">
      <c r="A426" s="229"/>
      <c r="B426" s="309"/>
      <c r="C426" s="213"/>
      <c r="D426" s="229"/>
    </row>
    <row r="427" spans="1:4" ht="13.8">
      <c r="A427" s="229"/>
      <c r="B427" s="309"/>
      <c r="C427" s="213"/>
      <c r="D427" s="229"/>
    </row>
    <row r="428" spans="1:4" ht="13.8">
      <c r="A428" s="229"/>
      <c r="B428" s="309"/>
      <c r="C428" s="213"/>
      <c r="D428" s="229"/>
    </row>
    <row r="429" spans="1:4" ht="13.8">
      <c r="A429" s="229"/>
      <c r="B429" s="309"/>
      <c r="C429" s="213"/>
      <c r="D429" s="229"/>
    </row>
    <row r="430" spans="1:4" ht="13.8">
      <c r="A430" s="229"/>
      <c r="B430" s="309"/>
      <c r="C430" s="213"/>
      <c r="D430" s="229"/>
    </row>
    <row r="431" spans="1:4" ht="13.8">
      <c r="A431" s="229"/>
      <c r="B431" s="309"/>
      <c r="C431" s="213"/>
      <c r="D431" s="229"/>
    </row>
    <row r="432" spans="1:4" ht="13.8">
      <c r="A432" s="229"/>
      <c r="B432" s="309"/>
      <c r="C432" s="213"/>
      <c r="D432" s="229"/>
    </row>
    <row r="433" spans="1:4" ht="13.8">
      <c r="A433" s="229"/>
      <c r="B433" s="309"/>
      <c r="C433" s="213"/>
      <c r="D433" s="229"/>
    </row>
    <row r="434" spans="1:4" ht="13.8">
      <c r="A434" s="229"/>
      <c r="B434" s="309"/>
      <c r="C434" s="213"/>
      <c r="D434" s="229"/>
    </row>
    <row r="435" spans="1:4" ht="13.8">
      <c r="A435" s="229"/>
      <c r="B435" s="309"/>
      <c r="C435" s="213"/>
      <c r="D435" s="229"/>
    </row>
    <row r="436" spans="1:4" ht="13.8">
      <c r="A436" s="229"/>
      <c r="B436" s="309"/>
      <c r="C436" s="213"/>
      <c r="D436" s="229"/>
    </row>
    <row r="437" spans="1:4" ht="13.8">
      <c r="A437" s="229"/>
      <c r="B437" s="309"/>
      <c r="C437" s="213"/>
      <c r="D437" s="229"/>
    </row>
    <row r="438" spans="1:4" ht="13.8">
      <c r="A438" s="229"/>
      <c r="B438" s="309"/>
      <c r="C438" s="213"/>
      <c r="D438" s="229"/>
    </row>
    <row r="439" spans="1:4" ht="13.8">
      <c r="A439" s="229"/>
      <c r="B439" s="309"/>
      <c r="C439" s="213"/>
      <c r="D439" s="229"/>
    </row>
    <row r="440" spans="1:4" ht="13.8">
      <c r="A440" s="229"/>
      <c r="B440" s="309"/>
      <c r="C440" s="213"/>
      <c r="D440" s="229"/>
    </row>
    <row r="441" spans="1:4" ht="13.8">
      <c r="A441" s="229"/>
      <c r="B441" s="309"/>
      <c r="C441" s="213"/>
      <c r="D441" s="229"/>
    </row>
    <row r="442" spans="1:4" ht="13.8">
      <c r="A442" s="229"/>
      <c r="B442" s="309"/>
      <c r="C442" s="213"/>
      <c r="D442" s="229"/>
    </row>
    <row r="443" spans="1:4" ht="13.8">
      <c r="A443" s="229"/>
      <c r="B443" s="309"/>
      <c r="C443" s="213"/>
      <c r="D443" s="229"/>
    </row>
    <row r="444" spans="1:4" ht="13.8">
      <c r="A444" s="229"/>
      <c r="B444" s="309"/>
      <c r="C444" s="213"/>
      <c r="D444" s="229"/>
    </row>
    <row r="445" spans="1:4" ht="13.8">
      <c r="A445" s="229"/>
      <c r="B445" s="309"/>
      <c r="C445" s="213"/>
      <c r="D445" s="229"/>
    </row>
    <row r="446" spans="1:4" ht="13.8">
      <c r="A446" s="229"/>
      <c r="B446" s="309"/>
      <c r="C446" s="213"/>
      <c r="D446" s="229"/>
    </row>
    <row r="447" spans="1:4" ht="13.8">
      <c r="A447" s="229"/>
      <c r="B447" s="309"/>
      <c r="C447" s="213"/>
      <c r="D447" s="229"/>
    </row>
    <row r="448" spans="1:4" ht="13.8">
      <c r="A448" s="229"/>
      <c r="B448" s="309"/>
      <c r="C448" s="213"/>
      <c r="D448" s="229"/>
    </row>
    <row r="449" spans="1:4" ht="13.8">
      <c r="A449" s="229"/>
      <c r="B449" s="309"/>
      <c r="C449" s="213"/>
      <c r="D449" s="229"/>
    </row>
    <row r="450" spans="1:4" ht="13.8">
      <c r="A450" s="229"/>
      <c r="B450" s="309"/>
      <c r="C450" s="213"/>
      <c r="D450" s="229"/>
    </row>
    <row r="451" spans="1:4" ht="13.8">
      <c r="A451" s="229"/>
      <c r="B451" s="309"/>
      <c r="C451" s="213"/>
      <c r="D451" s="229"/>
    </row>
    <row r="452" spans="1:4" ht="13.8">
      <c r="A452" s="229"/>
      <c r="B452" s="309"/>
      <c r="C452" s="213"/>
      <c r="D452" s="229"/>
    </row>
    <row r="453" spans="1:4" ht="13.8">
      <c r="A453" s="229"/>
      <c r="B453" s="309"/>
      <c r="C453" s="213"/>
      <c r="D453" s="229"/>
    </row>
    <row r="454" spans="1:4" ht="13.8">
      <c r="A454" s="229"/>
      <c r="B454" s="309"/>
      <c r="C454" s="213"/>
      <c r="D454" s="229"/>
    </row>
    <row r="455" spans="1:4" ht="13.8">
      <c r="A455" s="229"/>
      <c r="B455" s="309"/>
      <c r="C455" s="213"/>
      <c r="D455" s="229"/>
    </row>
    <row r="456" spans="1:4" ht="13.8">
      <c r="A456" s="229"/>
      <c r="B456" s="309"/>
      <c r="C456" s="213"/>
      <c r="D456" s="229"/>
    </row>
    <row r="457" spans="1:4" ht="13.8">
      <c r="A457" s="229"/>
      <c r="B457" s="309"/>
      <c r="C457" s="213"/>
      <c r="D457" s="229"/>
    </row>
    <row r="458" spans="1:4" ht="13.8">
      <c r="A458" s="229"/>
      <c r="B458" s="309"/>
      <c r="C458" s="213"/>
      <c r="D458" s="229"/>
    </row>
    <row r="459" spans="1:4" ht="13.8">
      <c r="A459" s="229"/>
      <c r="B459" s="309"/>
      <c r="C459" s="213"/>
      <c r="D459" s="229"/>
    </row>
    <row r="460" spans="1:4" ht="13.8">
      <c r="A460" s="229"/>
      <c r="B460" s="309"/>
      <c r="C460" s="213"/>
      <c r="D460" s="229"/>
    </row>
    <row r="461" spans="1:4" ht="13.8">
      <c r="A461" s="229"/>
      <c r="B461" s="309"/>
      <c r="C461" s="213"/>
      <c r="D461" s="229"/>
    </row>
    <row r="462" spans="1:4" ht="13.8">
      <c r="A462" s="229"/>
      <c r="B462" s="309"/>
      <c r="C462" s="213"/>
      <c r="D462" s="229"/>
    </row>
    <row r="463" spans="1:4" ht="13.8">
      <c r="A463" s="229"/>
      <c r="B463" s="309"/>
      <c r="C463" s="213"/>
      <c r="D463" s="229"/>
    </row>
    <row r="464" spans="1:4" ht="13.8">
      <c r="A464" s="229"/>
      <c r="B464" s="309"/>
      <c r="C464" s="213"/>
      <c r="D464" s="229"/>
    </row>
    <row r="465" spans="1:4" ht="13.8">
      <c r="A465" s="229"/>
      <c r="B465" s="309"/>
      <c r="C465" s="213"/>
      <c r="D465" s="229"/>
    </row>
    <row r="466" spans="1:4" ht="13.8">
      <c r="A466" s="229"/>
      <c r="B466" s="309"/>
      <c r="C466" s="213"/>
      <c r="D466" s="229"/>
    </row>
    <row r="467" spans="1:4" ht="13.8">
      <c r="A467" s="229"/>
      <c r="B467" s="309"/>
      <c r="C467" s="213"/>
      <c r="D467" s="229"/>
    </row>
    <row r="468" spans="1:4" ht="13.8">
      <c r="A468" s="229"/>
      <c r="B468" s="309"/>
      <c r="C468" s="213"/>
      <c r="D468" s="229"/>
    </row>
    <row r="469" spans="1:4" ht="13.8">
      <c r="A469" s="229"/>
      <c r="B469" s="309"/>
      <c r="C469" s="213"/>
      <c r="D469" s="229"/>
    </row>
    <row r="470" spans="1:4" ht="13.8">
      <c r="A470" s="229"/>
      <c r="B470" s="309"/>
      <c r="C470" s="213"/>
      <c r="D470" s="229"/>
    </row>
    <row r="471" spans="1:4" ht="13.8">
      <c r="A471" s="229"/>
      <c r="B471" s="309"/>
      <c r="C471" s="213"/>
      <c r="D471" s="229"/>
    </row>
    <row r="472" spans="1:4" ht="13.8">
      <c r="A472" s="229"/>
      <c r="B472" s="309"/>
      <c r="C472" s="213"/>
      <c r="D472" s="229"/>
    </row>
    <row r="473" spans="1:4" ht="13.8">
      <c r="A473" s="229"/>
      <c r="B473" s="309"/>
      <c r="C473" s="213"/>
      <c r="D473" s="229"/>
    </row>
    <row r="474" spans="1:4" ht="13.8">
      <c r="A474" s="229"/>
      <c r="B474" s="309"/>
      <c r="C474" s="213"/>
      <c r="D474" s="229"/>
    </row>
    <row r="475" spans="1:4" ht="13.8">
      <c r="A475" s="229"/>
      <c r="B475" s="309"/>
      <c r="C475" s="213"/>
      <c r="D475" s="229"/>
    </row>
    <row r="476" spans="1:4" ht="13.8">
      <c r="A476" s="229"/>
      <c r="B476" s="309"/>
      <c r="C476" s="213"/>
      <c r="D476" s="229"/>
    </row>
    <row r="477" spans="1:4" ht="13.8">
      <c r="A477" s="229"/>
      <c r="B477" s="309"/>
      <c r="C477" s="213"/>
      <c r="D477" s="229"/>
    </row>
    <row r="478" spans="1:4" ht="13.8">
      <c r="A478" s="229"/>
      <c r="B478" s="309"/>
      <c r="C478" s="213"/>
      <c r="D478" s="229"/>
    </row>
    <row r="479" spans="1:4" ht="13.8">
      <c r="A479" s="229"/>
      <c r="B479" s="309"/>
      <c r="C479" s="213"/>
      <c r="D479" s="229"/>
    </row>
    <row r="480" spans="1:4" ht="13.8">
      <c r="A480" s="229"/>
      <c r="B480" s="309"/>
      <c r="C480" s="213"/>
      <c r="D480" s="229"/>
    </row>
    <row r="481" spans="1:4" ht="13.8">
      <c r="A481" s="229"/>
      <c r="B481" s="309"/>
      <c r="C481" s="213"/>
      <c r="D481" s="229"/>
    </row>
    <row r="482" spans="1:4" ht="13.8">
      <c r="A482" s="229"/>
      <c r="B482" s="309"/>
      <c r="C482" s="213"/>
      <c r="D482" s="229"/>
    </row>
    <row r="483" spans="1:4" ht="13.8">
      <c r="A483" s="229"/>
      <c r="B483" s="309"/>
      <c r="C483" s="213"/>
      <c r="D483" s="229"/>
    </row>
    <row r="484" spans="1:4" ht="13.8">
      <c r="A484" s="229"/>
      <c r="B484" s="309"/>
      <c r="C484" s="213"/>
      <c r="D484" s="229"/>
    </row>
    <row r="485" spans="1:4" ht="13.8">
      <c r="A485" s="229"/>
      <c r="B485" s="309"/>
      <c r="C485" s="213"/>
      <c r="D485" s="229"/>
    </row>
    <row r="486" spans="1:4" ht="13.8">
      <c r="A486" s="229"/>
      <c r="B486" s="309"/>
      <c r="C486" s="213"/>
      <c r="D486" s="229"/>
    </row>
    <row r="487" spans="1:4" ht="13.8">
      <c r="A487" s="229"/>
      <c r="B487" s="309"/>
      <c r="C487" s="213"/>
      <c r="D487" s="229"/>
    </row>
    <row r="488" spans="1:4" ht="13.8">
      <c r="A488" s="229"/>
      <c r="B488" s="309"/>
      <c r="C488" s="213"/>
      <c r="D488" s="229"/>
    </row>
    <row r="489" spans="1:4" ht="13.8">
      <c r="A489" s="229"/>
      <c r="B489" s="309"/>
      <c r="C489" s="213"/>
      <c r="D489" s="229"/>
    </row>
    <row r="490" spans="1:4" ht="13.8">
      <c r="A490" s="229"/>
      <c r="B490" s="309"/>
      <c r="C490" s="213"/>
      <c r="D490" s="229"/>
    </row>
    <row r="491" spans="1:4" ht="13.8">
      <c r="A491" s="229"/>
      <c r="B491" s="309"/>
      <c r="C491" s="213"/>
      <c r="D491" s="229"/>
    </row>
    <row r="492" spans="1:4" ht="13.8">
      <c r="A492" s="229"/>
      <c r="B492" s="309"/>
      <c r="C492" s="213"/>
      <c r="D492" s="229"/>
    </row>
    <row r="493" spans="1:4" ht="13.8">
      <c r="A493" s="229"/>
      <c r="B493" s="309"/>
      <c r="C493" s="213"/>
      <c r="D493" s="229"/>
    </row>
    <row r="494" spans="1:4" ht="13.8">
      <c r="A494" s="229"/>
      <c r="B494" s="309"/>
      <c r="C494" s="213"/>
      <c r="D494" s="229"/>
    </row>
    <row r="495" spans="1:4" ht="13.8">
      <c r="A495" s="229"/>
      <c r="B495" s="309"/>
      <c r="C495" s="213"/>
      <c r="D495" s="229"/>
    </row>
    <row r="496" spans="1:4" ht="13.8">
      <c r="A496" s="229"/>
      <c r="B496" s="309"/>
      <c r="C496" s="213"/>
      <c r="D496" s="229"/>
    </row>
    <row r="497" spans="1:4" ht="13.8">
      <c r="A497" s="229"/>
      <c r="B497" s="309"/>
      <c r="C497" s="213"/>
      <c r="D497" s="229"/>
    </row>
    <row r="498" spans="1:4" ht="13.8">
      <c r="A498" s="229"/>
      <c r="B498" s="309"/>
      <c r="C498" s="213"/>
      <c r="D498" s="229"/>
    </row>
    <row r="499" spans="1:4" ht="13.8">
      <c r="A499" s="229"/>
      <c r="B499" s="309"/>
      <c r="C499" s="213"/>
      <c r="D499" s="229"/>
    </row>
    <row r="500" spans="1:4" ht="13.8">
      <c r="A500" s="229"/>
      <c r="B500" s="309"/>
      <c r="C500" s="213"/>
      <c r="D500" s="229"/>
    </row>
    <row r="501" spans="1:4" ht="13.8">
      <c r="A501" s="229"/>
      <c r="B501" s="309"/>
      <c r="C501" s="213"/>
      <c r="D501" s="229"/>
    </row>
    <row r="502" spans="1:4" ht="13.8">
      <c r="A502" s="229"/>
      <c r="B502" s="309"/>
      <c r="C502" s="213"/>
      <c r="D502" s="229"/>
    </row>
    <row r="503" spans="1:4" ht="13.8">
      <c r="A503" s="229"/>
      <c r="B503" s="309"/>
      <c r="C503" s="213"/>
      <c r="D503" s="229"/>
    </row>
    <row r="504" spans="1:4" ht="13.8">
      <c r="A504" s="229"/>
      <c r="B504" s="309"/>
      <c r="C504" s="213"/>
      <c r="D504" s="229"/>
    </row>
    <row r="505" spans="1:4" ht="13.8">
      <c r="A505" s="229"/>
      <c r="B505" s="309"/>
      <c r="C505" s="213"/>
      <c r="D505" s="229"/>
    </row>
    <row r="506" spans="1:4" ht="13.8">
      <c r="A506" s="229"/>
      <c r="B506" s="309"/>
      <c r="C506" s="213"/>
      <c r="D506" s="229"/>
    </row>
    <row r="507" spans="1:4" ht="13.8">
      <c r="A507" s="229"/>
      <c r="B507" s="309"/>
      <c r="C507" s="213"/>
      <c r="D507" s="229"/>
    </row>
    <row r="508" spans="1:4" ht="13.8">
      <c r="A508" s="229"/>
      <c r="B508" s="309"/>
      <c r="C508" s="213"/>
      <c r="D508" s="229"/>
    </row>
    <row r="509" spans="1:4" ht="13.8">
      <c r="A509" s="229"/>
      <c r="B509" s="309"/>
      <c r="C509" s="213"/>
      <c r="D509" s="229"/>
    </row>
    <row r="510" spans="1:4" ht="13.8">
      <c r="A510" s="229"/>
      <c r="B510" s="309"/>
      <c r="C510" s="213"/>
      <c r="D510" s="229"/>
    </row>
    <row r="511" spans="1:4" ht="13.8">
      <c r="A511" s="229"/>
      <c r="B511" s="309"/>
      <c r="C511" s="213"/>
      <c r="D511" s="229"/>
    </row>
    <row r="512" spans="1:4" ht="13.8">
      <c r="A512" s="229"/>
      <c r="B512" s="309"/>
      <c r="C512" s="213"/>
      <c r="D512" s="229"/>
    </row>
    <row r="513" spans="1:4" ht="13.8">
      <c r="A513" s="229"/>
      <c r="B513" s="309"/>
      <c r="C513" s="213"/>
      <c r="D513" s="229"/>
    </row>
    <row r="514" spans="1:4" ht="13.8">
      <c r="A514" s="229"/>
      <c r="B514" s="309"/>
      <c r="C514" s="213"/>
      <c r="D514" s="229"/>
    </row>
    <row r="515" spans="1:4" ht="13.8">
      <c r="A515" s="229"/>
      <c r="B515" s="309"/>
      <c r="C515" s="213"/>
      <c r="D515" s="229"/>
    </row>
    <row r="516" spans="1:4" ht="13.8">
      <c r="A516" s="229"/>
      <c r="B516" s="309"/>
      <c r="C516" s="213"/>
      <c r="D516" s="229"/>
    </row>
    <row r="517" spans="1:4" ht="13.8">
      <c r="A517" s="229"/>
      <c r="B517" s="309"/>
      <c r="C517" s="213"/>
      <c r="D517" s="229"/>
    </row>
    <row r="518" spans="1:4" ht="13.8">
      <c r="A518" s="229"/>
      <c r="B518" s="309"/>
      <c r="C518" s="213"/>
      <c r="D518" s="229"/>
    </row>
    <row r="519" spans="1:4" ht="13.8">
      <c r="A519" s="229"/>
      <c r="B519" s="309"/>
      <c r="C519" s="213"/>
      <c r="D519" s="229"/>
    </row>
    <row r="520" spans="1:4" ht="13.8">
      <c r="A520" s="229"/>
      <c r="B520" s="309"/>
      <c r="C520" s="213"/>
      <c r="D520" s="229"/>
    </row>
    <row r="521" spans="1:4" ht="13.8">
      <c r="A521" s="229"/>
      <c r="B521" s="309"/>
      <c r="C521" s="213"/>
      <c r="D521" s="229"/>
    </row>
    <row r="522" spans="1:4" ht="13.8">
      <c r="A522" s="229"/>
      <c r="B522" s="309"/>
      <c r="C522" s="213"/>
      <c r="D522" s="229"/>
    </row>
    <row r="523" spans="1:4" ht="13.8">
      <c r="A523" s="229"/>
      <c r="B523" s="309"/>
      <c r="C523" s="213"/>
      <c r="D523" s="229"/>
    </row>
    <row r="524" spans="1:4" ht="13.8">
      <c r="A524" s="229"/>
      <c r="B524" s="309"/>
      <c r="C524" s="213"/>
      <c r="D524" s="229"/>
    </row>
    <row r="525" spans="1:4" ht="13.8">
      <c r="A525" s="229"/>
      <c r="B525" s="309"/>
      <c r="C525" s="213"/>
      <c r="D525" s="229"/>
    </row>
    <row r="526" spans="1:4" ht="13.8">
      <c r="A526" s="229"/>
      <c r="B526" s="309"/>
      <c r="C526" s="213"/>
      <c r="D526" s="229"/>
    </row>
    <row r="527" spans="1:4" ht="13.8">
      <c r="A527" s="229"/>
      <c r="B527" s="309"/>
      <c r="C527" s="213"/>
      <c r="D527" s="229"/>
    </row>
    <row r="528" spans="1:4" ht="13.8">
      <c r="A528" s="229"/>
      <c r="B528" s="309"/>
      <c r="C528" s="213"/>
      <c r="D528" s="229"/>
    </row>
    <row r="529" spans="1:4" ht="13.8">
      <c r="A529" s="229"/>
      <c r="B529" s="309"/>
      <c r="C529" s="213"/>
      <c r="D529" s="229"/>
    </row>
    <row r="530" spans="1:4" ht="13.8">
      <c r="A530" s="229"/>
      <c r="B530" s="309"/>
      <c r="C530" s="213"/>
      <c r="D530" s="229"/>
    </row>
    <row r="531" spans="1:4" ht="13.8">
      <c r="A531" s="229"/>
      <c r="B531" s="309"/>
      <c r="C531" s="213"/>
      <c r="D531" s="229"/>
    </row>
    <row r="532" spans="1:4" ht="13.8">
      <c r="A532" s="229"/>
      <c r="B532" s="309"/>
      <c r="C532" s="213"/>
      <c r="D532" s="229"/>
    </row>
    <row r="533" spans="1:4" ht="13.8">
      <c r="A533" s="229"/>
      <c r="B533" s="309"/>
      <c r="C533" s="213"/>
      <c r="D533" s="229"/>
    </row>
    <row r="534" spans="1:4" ht="13.8">
      <c r="A534" s="229"/>
      <c r="B534" s="309"/>
      <c r="C534" s="213"/>
      <c r="D534" s="229"/>
    </row>
    <row r="535" spans="1:4" ht="13.8">
      <c r="A535" s="229"/>
      <c r="B535" s="309"/>
      <c r="C535" s="213"/>
      <c r="D535" s="229"/>
    </row>
    <row r="536" spans="1:4" ht="13.8">
      <c r="A536" s="229"/>
      <c r="B536" s="309"/>
      <c r="C536" s="213"/>
      <c r="D536" s="229"/>
    </row>
    <row r="537" spans="1:4" ht="13.8">
      <c r="A537" s="229"/>
      <c r="B537" s="309"/>
      <c r="C537" s="213"/>
      <c r="D537" s="229"/>
    </row>
    <row r="538" spans="1:4" ht="13.8">
      <c r="A538" s="229"/>
      <c r="B538" s="309"/>
      <c r="C538" s="213"/>
      <c r="D538" s="229"/>
    </row>
    <row r="539" spans="1:4" ht="13.8">
      <c r="A539" s="229"/>
      <c r="B539" s="309"/>
      <c r="C539" s="213"/>
      <c r="D539" s="229"/>
    </row>
    <row r="540" spans="1:4" ht="13.8">
      <c r="A540" s="229"/>
      <c r="B540" s="309"/>
      <c r="C540" s="213"/>
      <c r="D540" s="229"/>
    </row>
    <row r="541" spans="1:4" ht="13.8">
      <c r="A541" s="229"/>
      <c r="B541" s="309"/>
      <c r="C541" s="213"/>
      <c r="D541" s="229"/>
    </row>
    <row r="542" spans="1:4" ht="13.8">
      <c r="A542" s="229"/>
      <c r="B542" s="309"/>
      <c r="C542" s="213"/>
      <c r="D542" s="229"/>
    </row>
    <row r="543" spans="1:4" ht="13.8">
      <c r="A543" s="229"/>
      <c r="B543" s="309"/>
      <c r="C543" s="213"/>
      <c r="D543" s="229"/>
    </row>
    <row r="544" spans="1:4" ht="13.8">
      <c r="A544" s="229"/>
      <c r="B544" s="309"/>
      <c r="C544" s="213"/>
      <c r="D544" s="229"/>
    </row>
    <row r="545" spans="1:4" ht="13.8">
      <c r="A545" s="229"/>
      <c r="B545" s="309"/>
      <c r="C545" s="213"/>
      <c r="D545" s="229"/>
    </row>
    <row r="546" spans="1:4" ht="13.8">
      <c r="A546" s="229"/>
      <c r="B546" s="309"/>
      <c r="C546" s="213"/>
      <c r="D546" s="229"/>
    </row>
    <row r="547" spans="1:4" ht="13.8">
      <c r="A547" s="229"/>
      <c r="B547" s="309"/>
      <c r="C547" s="213"/>
      <c r="D547" s="229"/>
    </row>
    <row r="548" spans="1:4" ht="13.8">
      <c r="A548" s="229"/>
      <c r="B548" s="309"/>
      <c r="C548" s="213"/>
      <c r="D548" s="229"/>
    </row>
    <row r="549" spans="1:4" ht="13.8">
      <c r="A549" s="229"/>
      <c r="B549" s="309"/>
      <c r="C549" s="213"/>
      <c r="D549" s="229"/>
    </row>
    <row r="550" spans="1:4" ht="13.8">
      <c r="A550" s="229"/>
      <c r="B550" s="309"/>
      <c r="C550" s="213"/>
      <c r="D550" s="229"/>
    </row>
    <row r="551" spans="1:4" ht="13.8">
      <c r="A551" s="229"/>
      <c r="B551" s="309"/>
      <c r="C551" s="213"/>
      <c r="D551" s="229"/>
    </row>
    <row r="552" spans="1:4" ht="13.8">
      <c r="A552" s="229"/>
      <c r="B552" s="309"/>
      <c r="C552" s="213"/>
      <c r="D552" s="229"/>
    </row>
    <row r="553" spans="1:4" ht="13.8">
      <c r="A553" s="229"/>
      <c r="B553" s="309"/>
      <c r="C553" s="213"/>
      <c r="D553" s="229"/>
    </row>
    <row r="554" spans="1:4" ht="13.8">
      <c r="A554" s="229"/>
      <c r="B554" s="309"/>
      <c r="C554" s="213"/>
      <c r="D554" s="229"/>
    </row>
    <row r="555" spans="1:4" ht="13.8">
      <c r="A555" s="229"/>
      <c r="B555" s="309"/>
      <c r="C555" s="213"/>
      <c r="D555" s="229"/>
    </row>
    <row r="556" spans="1:4" ht="13.8">
      <c r="A556" s="229"/>
      <c r="B556" s="309"/>
      <c r="C556" s="213"/>
      <c r="D556" s="229"/>
    </row>
    <row r="557" spans="1:4" ht="13.8">
      <c r="A557" s="229"/>
      <c r="B557" s="309"/>
      <c r="C557" s="213"/>
      <c r="D557" s="229"/>
    </row>
    <row r="558" spans="1:4" ht="13.8">
      <c r="A558" s="229"/>
      <c r="B558" s="309"/>
      <c r="C558" s="213"/>
      <c r="D558" s="229"/>
    </row>
    <row r="559" spans="1:4" ht="13.8">
      <c r="A559" s="229"/>
      <c r="B559" s="309"/>
      <c r="C559" s="213"/>
      <c r="D559" s="229"/>
    </row>
    <row r="560" spans="1:4" ht="13.8">
      <c r="A560" s="229"/>
      <c r="B560" s="309"/>
      <c r="C560" s="213"/>
      <c r="D560" s="229"/>
    </row>
    <row r="561" spans="1:4" ht="13.8">
      <c r="A561" s="229"/>
      <c r="B561" s="309"/>
      <c r="C561" s="213"/>
      <c r="D561" s="229"/>
    </row>
    <row r="562" spans="1:4" ht="13.8">
      <c r="A562" s="229"/>
      <c r="B562" s="309"/>
      <c r="C562" s="213"/>
      <c r="D562" s="229"/>
    </row>
    <row r="563" spans="1:4" ht="13.8">
      <c r="A563" s="229"/>
      <c r="B563" s="309"/>
      <c r="C563" s="213"/>
      <c r="D563" s="229"/>
    </row>
    <row r="564" spans="1:4" ht="13.8">
      <c r="A564" s="229"/>
      <c r="B564" s="309"/>
      <c r="C564" s="213"/>
      <c r="D564" s="229"/>
    </row>
    <row r="565" spans="1:4" ht="13.8">
      <c r="A565" s="229"/>
      <c r="B565" s="309"/>
      <c r="C565" s="213"/>
      <c r="D565" s="229"/>
    </row>
    <row r="566" spans="1:4" ht="13.8">
      <c r="A566" s="229"/>
      <c r="B566" s="309"/>
      <c r="C566" s="213"/>
      <c r="D566" s="229"/>
    </row>
    <row r="567" spans="1:4" ht="13.8">
      <c r="A567" s="229"/>
      <c r="B567" s="309"/>
      <c r="C567" s="213"/>
      <c r="D567" s="229"/>
    </row>
    <row r="568" spans="1:4" ht="13.8">
      <c r="A568" s="229"/>
      <c r="B568" s="309"/>
      <c r="C568" s="213"/>
      <c r="D568" s="229"/>
    </row>
    <row r="569" spans="1:4" ht="13.8">
      <c r="A569" s="229"/>
      <c r="B569" s="309"/>
      <c r="C569" s="213"/>
      <c r="D569" s="229"/>
    </row>
    <row r="570" spans="1:4" ht="13.8">
      <c r="A570" s="229"/>
      <c r="B570" s="309"/>
      <c r="C570" s="213"/>
      <c r="D570" s="229"/>
    </row>
    <row r="571" spans="1:4" ht="13.8">
      <c r="A571" s="229"/>
      <c r="B571" s="309"/>
      <c r="C571" s="213"/>
      <c r="D571" s="229"/>
    </row>
    <row r="572" spans="1:4" ht="13.8">
      <c r="A572" s="229"/>
      <c r="B572" s="309"/>
      <c r="C572" s="213"/>
      <c r="D572" s="229"/>
    </row>
    <row r="573" spans="1:4" ht="13.8">
      <c r="A573" s="229"/>
      <c r="B573" s="309"/>
      <c r="C573" s="213"/>
      <c r="D573" s="229"/>
    </row>
    <row r="574" spans="1:4" ht="13.8">
      <c r="A574" s="229"/>
      <c r="B574" s="309"/>
      <c r="C574" s="213"/>
      <c r="D574" s="229"/>
    </row>
    <row r="575" spans="1:4" ht="13.8">
      <c r="A575" s="229"/>
      <c r="B575" s="309"/>
      <c r="C575" s="213"/>
      <c r="D575" s="229"/>
    </row>
    <row r="576" spans="1:4" ht="13.8">
      <c r="A576" s="229"/>
      <c r="B576" s="309"/>
      <c r="C576" s="213"/>
      <c r="D576" s="229"/>
    </row>
    <row r="577" spans="1:4" ht="13.8">
      <c r="A577" s="229"/>
      <c r="B577" s="309"/>
      <c r="C577" s="213"/>
      <c r="D577" s="229"/>
    </row>
    <row r="578" spans="1:4" ht="13.8">
      <c r="A578" s="229"/>
      <c r="B578" s="309"/>
      <c r="C578" s="213"/>
      <c r="D578" s="229"/>
    </row>
    <row r="579" spans="1:4" ht="13.8">
      <c r="A579" s="229"/>
      <c r="B579" s="309"/>
      <c r="C579" s="213"/>
      <c r="D579" s="229"/>
    </row>
    <row r="580" spans="1:4" ht="13.8">
      <c r="A580" s="229"/>
      <c r="B580" s="309"/>
      <c r="C580" s="213"/>
      <c r="D580" s="229"/>
    </row>
    <row r="581" spans="1:4" ht="13.8">
      <c r="A581" s="229"/>
      <c r="B581" s="309"/>
      <c r="C581" s="213"/>
      <c r="D581" s="229"/>
    </row>
    <row r="582" spans="1:4" ht="13.8">
      <c r="A582" s="229"/>
      <c r="B582" s="309"/>
      <c r="C582" s="213"/>
      <c r="D582" s="229"/>
    </row>
    <row r="583" spans="1:4" ht="13.8">
      <c r="A583" s="229"/>
      <c r="B583" s="309"/>
      <c r="C583" s="213"/>
      <c r="D583" s="229"/>
    </row>
    <row r="584" spans="1:4" ht="13.8">
      <c r="A584" s="229"/>
      <c r="B584" s="309"/>
      <c r="C584" s="213"/>
      <c r="D584" s="229"/>
    </row>
    <row r="585" spans="1:4" ht="13.8">
      <c r="A585" s="229"/>
      <c r="B585" s="309"/>
      <c r="C585" s="213"/>
      <c r="D585" s="229"/>
    </row>
    <row r="586" spans="1:4" ht="13.8">
      <c r="A586" s="229"/>
      <c r="B586" s="309"/>
      <c r="C586" s="213"/>
      <c r="D586" s="229"/>
    </row>
    <row r="587" spans="1:4" ht="13.8">
      <c r="A587" s="229"/>
      <c r="B587" s="309"/>
      <c r="C587" s="213"/>
      <c r="D587" s="229"/>
    </row>
    <row r="588" spans="1:4" ht="13.8">
      <c r="A588" s="229"/>
      <c r="B588" s="309"/>
      <c r="C588" s="213"/>
      <c r="D588" s="229"/>
    </row>
    <row r="589" spans="1:4" ht="13.8">
      <c r="A589" s="229"/>
      <c r="B589" s="309"/>
      <c r="C589" s="213"/>
      <c r="D589" s="229"/>
    </row>
    <row r="590" spans="1:4" ht="13.8">
      <c r="A590" s="229"/>
      <c r="B590" s="309"/>
      <c r="C590" s="213"/>
      <c r="D590" s="229"/>
    </row>
    <row r="591" spans="1:4" ht="13.8">
      <c r="A591" s="229"/>
      <c r="B591" s="309"/>
      <c r="C591" s="213"/>
      <c r="D591" s="229"/>
    </row>
    <row r="592" spans="1:4" ht="13.8">
      <c r="A592" s="229"/>
      <c r="B592" s="309"/>
      <c r="C592" s="213"/>
      <c r="D592" s="229"/>
    </row>
    <row r="593" spans="1:4" ht="13.8">
      <c r="A593" s="229"/>
      <c r="B593" s="309"/>
      <c r="C593" s="213"/>
      <c r="D593" s="229"/>
    </row>
    <row r="594" spans="1:4" ht="13.8">
      <c r="A594" s="229"/>
      <c r="B594" s="309"/>
      <c r="C594" s="213"/>
      <c r="D594" s="229"/>
    </row>
    <row r="595" spans="1:4" ht="13.8">
      <c r="A595" s="229"/>
      <c r="B595" s="309"/>
      <c r="C595" s="213"/>
      <c r="D595" s="229"/>
    </row>
    <row r="596" spans="1:4" ht="13.8">
      <c r="A596" s="229"/>
      <c r="B596" s="309"/>
      <c r="C596" s="213"/>
      <c r="D596" s="229"/>
    </row>
    <row r="597" spans="1:4" ht="13.8">
      <c r="A597" s="229"/>
      <c r="B597" s="309"/>
      <c r="C597" s="213"/>
      <c r="D597" s="229"/>
    </row>
    <row r="598" spans="1:4" ht="13.8">
      <c r="A598" s="229"/>
      <c r="B598" s="309"/>
      <c r="C598" s="213"/>
      <c r="D598" s="229"/>
    </row>
    <row r="599" spans="1:4" ht="13.8">
      <c r="A599" s="229"/>
      <c r="B599" s="309"/>
      <c r="C599" s="213"/>
      <c r="D599" s="229"/>
    </row>
    <row r="600" spans="1:4" ht="13.8">
      <c r="A600" s="229"/>
      <c r="B600" s="309"/>
      <c r="C600" s="213"/>
      <c r="D600" s="229"/>
    </row>
    <row r="601" spans="1:4" ht="13.8">
      <c r="A601" s="229"/>
      <c r="B601" s="309"/>
      <c r="C601" s="213"/>
      <c r="D601" s="229"/>
    </row>
    <row r="602" spans="1:4" ht="13.8">
      <c r="A602" s="229"/>
      <c r="B602" s="309"/>
      <c r="C602" s="213"/>
      <c r="D602" s="229"/>
    </row>
    <row r="603" spans="1:4" ht="13.8">
      <c r="A603" s="229"/>
      <c r="B603" s="309"/>
      <c r="C603" s="213"/>
      <c r="D603" s="229"/>
    </row>
    <row r="604" spans="1:4" ht="13.8">
      <c r="A604" s="229"/>
      <c r="B604" s="309"/>
      <c r="C604" s="213"/>
      <c r="D604" s="229"/>
    </row>
    <row r="605" spans="1:4" ht="13.8">
      <c r="A605" s="229"/>
      <c r="B605" s="309"/>
      <c r="C605" s="213"/>
      <c r="D605" s="229"/>
    </row>
    <row r="606" spans="1:4" ht="13.8">
      <c r="A606" s="229"/>
      <c r="B606" s="309"/>
      <c r="C606" s="213"/>
      <c r="D606" s="229"/>
    </row>
    <row r="607" spans="1:4" ht="13.8">
      <c r="A607" s="229"/>
      <c r="B607" s="309"/>
      <c r="C607" s="213"/>
      <c r="D607" s="229"/>
    </row>
    <row r="608" spans="1:4" ht="13.8">
      <c r="A608" s="229"/>
      <c r="B608" s="309"/>
      <c r="C608" s="213"/>
      <c r="D608" s="229"/>
    </row>
    <row r="609" spans="1:4" ht="13.8">
      <c r="A609" s="229"/>
      <c r="B609" s="309"/>
      <c r="C609" s="213"/>
      <c r="D609" s="229"/>
    </row>
    <row r="610" spans="1:4" ht="13.8">
      <c r="A610" s="229"/>
      <c r="B610" s="309"/>
      <c r="C610" s="213"/>
      <c r="D610" s="229"/>
    </row>
    <row r="611" spans="1:4" ht="13.8">
      <c r="A611" s="229"/>
      <c r="B611" s="309"/>
      <c r="C611" s="213"/>
      <c r="D611" s="229"/>
    </row>
    <row r="612" spans="1:4" ht="13.8">
      <c r="A612" s="229"/>
      <c r="B612" s="309"/>
      <c r="C612" s="213"/>
      <c r="D612" s="229"/>
    </row>
    <row r="613" spans="1:4" ht="13.8">
      <c r="A613" s="229"/>
      <c r="B613" s="309"/>
      <c r="C613" s="213"/>
      <c r="D613" s="229"/>
    </row>
    <row r="614" spans="1:4" ht="13.8">
      <c r="A614" s="229"/>
      <c r="B614" s="309"/>
      <c r="C614" s="213"/>
      <c r="D614" s="229"/>
    </row>
    <row r="615" spans="1:4" ht="13.8">
      <c r="A615" s="229"/>
      <c r="B615" s="309"/>
      <c r="C615" s="213"/>
      <c r="D615" s="229"/>
    </row>
    <row r="616" spans="1:4" ht="13.8">
      <c r="A616" s="229"/>
      <c r="B616" s="309"/>
      <c r="C616" s="213"/>
      <c r="D616" s="229"/>
    </row>
    <row r="617" spans="1:4" ht="13.8">
      <c r="A617" s="229"/>
      <c r="B617" s="309"/>
      <c r="C617" s="213"/>
      <c r="D617" s="229"/>
    </row>
    <row r="618" spans="1:4" ht="13.8">
      <c r="A618" s="229"/>
      <c r="B618" s="309"/>
      <c r="C618" s="213"/>
      <c r="D618" s="229"/>
    </row>
    <row r="619" spans="1:4" ht="13.8">
      <c r="A619" s="229"/>
      <c r="B619" s="309"/>
      <c r="C619" s="213"/>
      <c r="D619" s="229"/>
    </row>
    <row r="620" spans="1:4" ht="13.8">
      <c r="A620" s="229"/>
      <c r="B620" s="309"/>
      <c r="C620" s="213"/>
      <c r="D620" s="229"/>
    </row>
    <row r="621" spans="1:4" ht="13.8">
      <c r="A621" s="229"/>
      <c r="B621" s="309"/>
      <c r="C621" s="213"/>
      <c r="D621" s="229"/>
    </row>
    <row r="622" spans="1:4" ht="13.8">
      <c r="A622" s="229"/>
      <c r="B622" s="309"/>
      <c r="C622" s="213"/>
      <c r="D622" s="229"/>
    </row>
    <row r="623" spans="1:4" ht="13.8">
      <c r="A623" s="229"/>
      <c r="B623" s="309"/>
      <c r="C623" s="213"/>
      <c r="D623" s="229"/>
    </row>
    <row r="624" spans="1:4" ht="13.8">
      <c r="A624" s="229"/>
      <c r="B624" s="309"/>
      <c r="C624" s="213"/>
      <c r="D624" s="229"/>
    </row>
    <row r="625" spans="1:4" ht="13.8">
      <c r="A625" s="229"/>
      <c r="B625" s="309"/>
      <c r="C625" s="213"/>
      <c r="D625" s="229"/>
    </row>
    <row r="626" spans="1:4" ht="13.8">
      <c r="A626" s="229"/>
      <c r="B626" s="309"/>
      <c r="C626" s="213"/>
      <c r="D626" s="229"/>
    </row>
    <row r="627" spans="1:4" ht="13.8">
      <c r="A627" s="229"/>
      <c r="B627" s="309"/>
      <c r="C627" s="213"/>
      <c r="D627" s="229"/>
    </row>
    <row r="628" spans="1:4" ht="13.8">
      <c r="A628" s="229"/>
      <c r="B628" s="309"/>
      <c r="C628" s="213"/>
      <c r="D628" s="229"/>
    </row>
    <row r="629" spans="1:4" ht="13.8">
      <c r="A629" s="229"/>
      <c r="B629" s="309"/>
      <c r="C629" s="213"/>
      <c r="D629" s="229"/>
    </row>
    <row r="630" spans="1:4" ht="13.8">
      <c r="A630" s="229"/>
      <c r="B630" s="309"/>
      <c r="C630" s="213"/>
      <c r="D630" s="229"/>
    </row>
    <row r="631" spans="1:4" ht="13.8">
      <c r="A631" s="229"/>
      <c r="B631" s="309"/>
      <c r="C631" s="213"/>
      <c r="D631" s="229"/>
    </row>
    <row r="632" spans="1:4" ht="13.8">
      <c r="A632" s="229"/>
      <c r="B632" s="309"/>
      <c r="C632" s="213"/>
      <c r="D632" s="229"/>
    </row>
    <row r="633" spans="1:4" ht="13.8">
      <c r="A633" s="229"/>
      <c r="B633" s="309"/>
      <c r="C633" s="213"/>
      <c r="D633" s="229"/>
    </row>
    <row r="634" spans="1:4" ht="13.8">
      <c r="A634" s="229"/>
      <c r="B634" s="309"/>
      <c r="C634" s="213"/>
      <c r="D634" s="229"/>
    </row>
    <row r="635" spans="1:4" ht="13.8">
      <c r="A635" s="229"/>
      <c r="B635" s="309"/>
      <c r="C635" s="213"/>
      <c r="D635" s="229"/>
    </row>
    <row r="636" spans="1:4" ht="13.8">
      <c r="A636" s="229"/>
      <c r="B636" s="309"/>
      <c r="C636" s="213"/>
      <c r="D636" s="229"/>
    </row>
    <row r="637" spans="1:4" ht="13.8">
      <c r="A637" s="229"/>
      <c r="B637" s="309"/>
      <c r="C637" s="213"/>
      <c r="D637" s="229"/>
    </row>
    <row r="638" spans="1:4" ht="13.8">
      <c r="A638" s="229"/>
      <c r="B638" s="309"/>
      <c r="C638" s="213"/>
      <c r="D638" s="229"/>
    </row>
    <row r="639" spans="1:4" ht="13.8">
      <c r="A639" s="229"/>
      <c r="B639" s="309"/>
      <c r="C639" s="213"/>
      <c r="D639" s="229"/>
    </row>
    <row r="640" spans="1:4" ht="13.8">
      <c r="A640" s="229"/>
      <c r="B640" s="309"/>
      <c r="C640" s="213"/>
      <c r="D640" s="229"/>
    </row>
    <row r="641" spans="1:4" ht="13.8">
      <c r="A641" s="229"/>
      <c r="B641" s="309"/>
      <c r="C641" s="213"/>
      <c r="D641" s="229"/>
    </row>
    <row r="642" spans="1:4" ht="13.8">
      <c r="A642" s="229"/>
      <c r="B642" s="309"/>
      <c r="C642" s="213"/>
      <c r="D642" s="229"/>
    </row>
    <row r="643" spans="1:4" ht="13.8">
      <c r="A643" s="229"/>
      <c r="B643" s="309"/>
      <c r="C643" s="213"/>
      <c r="D643" s="229"/>
    </row>
    <row r="644" spans="1:4" ht="13.8">
      <c r="A644" s="229"/>
      <c r="B644" s="309"/>
      <c r="C644" s="213"/>
      <c r="D644" s="229"/>
    </row>
    <row r="645" spans="1:4" ht="13.8">
      <c r="A645" s="229"/>
      <c r="B645" s="309"/>
      <c r="C645" s="213"/>
      <c r="D645" s="229"/>
    </row>
    <row r="646" spans="1:4" ht="13.8">
      <c r="A646" s="229"/>
      <c r="B646" s="309"/>
      <c r="C646" s="213"/>
      <c r="D646" s="229"/>
    </row>
    <row r="647" spans="1:4" ht="13.8">
      <c r="A647" s="229"/>
      <c r="B647" s="309"/>
      <c r="C647" s="213"/>
      <c r="D647" s="229"/>
    </row>
    <row r="648" spans="1:4" ht="13.8">
      <c r="A648" s="229"/>
      <c r="B648" s="309"/>
      <c r="C648" s="213"/>
      <c r="D648" s="229"/>
    </row>
    <row r="649" spans="1:4" ht="13.8">
      <c r="A649" s="229"/>
      <c r="B649" s="309"/>
      <c r="C649" s="213"/>
      <c r="D649" s="229"/>
    </row>
    <row r="650" spans="1:4" ht="13.8">
      <c r="A650" s="229"/>
      <c r="B650" s="309"/>
      <c r="C650" s="213"/>
      <c r="D650" s="229"/>
    </row>
    <row r="651" spans="1:4" ht="13.8">
      <c r="A651" s="229"/>
      <c r="B651" s="309"/>
      <c r="C651" s="213"/>
      <c r="D651" s="229"/>
    </row>
    <row r="652" spans="1:4" ht="13.8">
      <c r="A652" s="229"/>
      <c r="B652" s="309"/>
      <c r="C652" s="213"/>
      <c r="D652" s="229"/>
    </row>
    <row r="653" spans="1:4" ht="13.8">
      <c r="A653" s="229"/>
      <c r="B653" s="309"/>
      <c r="C653" s="213"/>
      <c r="D653" s="229"/>
    </row>
    <row r="654" spans="1:4" ht="13.8">
      <c r="A654" s="229"/>
      <c r="B654" s="309"/>
      <c r="C654" s="213"/>
      <c r="D654" s="229"/>
    </row>
    <row r="655" spans="1:4" ht="13.8">
      <c r="A655" s="229"/>
      <c r="B655" s="309"/>
      <c r="C655" s="213"/>
      <c r="D655" s="229"/>
    </row>
    <row r="656" spans="1:4" ht="13.8">
      <c r="A656" s="229"/>
      <c r="B656" s="309"/>
      <c r="C656" s="213"/>
      <c r="D656" s="229"/>
    </row>
    <row r="657" spans="1:4" ht="13.8">
      <c r="A657" s="229"/>
      <c r="B657" s="309"/>
      <c r="C657" s="213"/>
      <c r="D657" s="229"/>
    </row>
    <row r="658" spans="1:4" ht="13.8">
      <c r="A658" s="229"/>
      <c r="B658" s="309"/>
      <c r="C658" s="213"/>
      <c r="D658" s="229"/>
    </row>
    <row r="659" spans="1:4" ht="13.8">
      <c r="A659" s="229"/>
      <c r="B659" s="309"/>
      <c r="C659" s="213"/>
      <c r="D659" s="229"/>
    </row>
    <row r="660" spans="1:4" ht="13.8">
      <c r="A660" s="229"/>
      <c r="B660" s="309"/>
      <c r="C660" s="213"/>
      <c r="D660" s="229"/>
    </row>
    <row r="661" spans="1:4" ht="13.8">
      <c r="A661" s="229"/>
      <c r="B661" s="309"/>
      <c r="C661" s="213"/>
      <c r="D661" s="229"/>
    </row>
    <row r="662" spans="1:4" ht="13.8">
      <c r="A662" s="229"/>
      <c r="B662" s="309"/>
      <c r="C662" s="213"/>
      <c r="D662" s="229"/>
    </row>
    <row r="663" spans="1:4" ht="13.8">
      <c r="A663" s="229"/>
      <c r="B663" s="309"/>
      <c r="C663" s="213"/>
      <c r="D663" s="229"/>
    </row>
    <row r="664" spans="1:4" ht="13.8">
      <c r="A664" s="229"/>
      <c r="B664" s="309"/>
      <c r="C664" s="213"/>
      <c r="D664" s="229"/>
    </row>
    <row r="665" spans="1:4" ht="13.8">
      <c r="A665" s="229"/>
      <c r="B665" s="309"/>
      <c r="C665" s="213"/>
      <c r="D665" s="229"/>
    </row>
    <row r="666" spans="1:4" ht="13.8">
      <c r="A666" s="229"/>
      <c r="B666" s="309"/>
      <c r="C666" s="213"/>
      <c r="D666" s="229"/>
    </row>
    <row r="667" spans="1:4" ht="13.8">
      <c r="A667" s="229"/>
      <c r="B667" s="309"/>
      <c r="C667" s="213"/>
      <c r="D667" s="229"/>
    </row>
    <row r="668" spans="1:4" ht="13.8">
      <c r="A668" s="229"/>
      <c r="B668" s="309"/>
      <c r="C668" s="213"/>
      <c r="D668" s="229"/>
    </row>
    <row r="669" spans="1:4" ht="13.8">
      <c r="A669" s="229"/>
      <c r="B669" s="309"/>
      <c r="C669" s="213"/>
      <c r="D669" s="229"/>
    </row>
    <row r="670" spans="1:4" ht="13.8">
      <c r="A670" s="229"/>
      <c r="B670" s="309"/>
      <c r="C670" s="213"/>
      <c r="D670" s="229"/>
    </row>
    <row r="671" spans="1:4" ht="13.8">
      <c r="A671" s="229"/>
      <c r="B671" s="309"/>
      <c r="C671" s="213"/>
      <c r="D671" s="229"/>
    </row>
    <row r="672" spans="1:4" ht="13.8">
      <c r="A672" s="229"/>
      <c r="B672" s="309"/>
      <c r="C672" s="213"/>
      <c r="D672" s="229"/>
    </row>
    <row r="673" spans="1:4" ht="13.8">
      <c r="A673" s="229"/>
      <c r="B673" s="309"/>
      <c r="C673" s="213"/>
      <c r="D673" s="229"/>
    </row>
    <row r="674" spans="1:4" ht="13.8">
      <c r="A674" s="229"/>
      <c r="B674" s="309"/>
      <c r="C674" s="213"/>
      <c r="D674" s="229"/>
    </row>
    <row r="675" spans="1:4" ht="13.8">
      <c r="A675" s="229"/>
      <c r="B675" s="309"/>
      <c r="C675" s="213"/>
      <c r="D675" s="229"/>
    </row>
    <row r="676" spans="1:4" ht="13.8">
      <c r="A676" s="229"/>
      <c r="B676" s="309"/>
      <c r="C676" s="213"/>
      <c r="D676" s="229"/>
    </row>
    <row r="677" spans="1:4" ht="13.8">
      <c r="A677" s="229"/>
      <c r="B677" s="309"/>
      <c r="C677" s="213"/>
      <c r="D677" s="229"/>
    </row>
    <row r="678" spans="1:4" ht="13.8">
      <c r="A678" s="229"/>
      <c r="B678" s="309"/>
      <c r="C678" s="213"/>
      <c r="D678" s="229"/>
    </row>
    <row r="679" spans="1:4" ht="13.8">
      <c r="A679" s="229"/>
      <c r="B679" s="309"/>
      <c r="C679" s="213"/>
      <c r="D679" s="229"/>
    </row>
    <row r="680" spans="1:4" ht="13.8">
      <c r="A680" s="229"/>
      <c r="B680" s="309"/>
      <c r="C680" s="213"/>
      <c r="D680" s="229"/>
    </row>
    <row r="681" spans="1:4" ht="13.8">
      <c r="A681" s="229"/>
      <c r="B681" s="309"/>
      <c r="C681" s="213"/>
      <c r="D681" s="229"/>
    </row>
    <row r="682" spans="1:4" ht="13.8">
      <c r="A682" s="229"/>
      <c r="B682" s="309"/>
      <c r="C682" s="213"/>
      <c r="D682" s="229"/>
    </row>
    <row r="683" spans="1:4" ht="13.8">
      <c r="A683" s="229"/>
      <c r="B683" s="309"/>
      <c r="C683" s="213"/>
      <c r="D683" s="229"/>
    </row>
    <row r="684" spans="1:4" ht="13.8">
      <c r="A684" s="229"/>
      <c r="B684" s="309"/>
      <c r="C684" s="213"/>
      <c r="D684" s="229"/>
    </row>
    <row r="685" spans="1:4" ht="13.8">
      <c r="A685" s="229"/>
      <c r="B685" s="309"/>
      <c r="C685" s="213"/>
      <c r="D685" s="229"/>
    </row>
    <row r="686" spans="1:4" ht="13.8">
      <c r="A686" s="229"/>
      <c r="B686" s="309"/>
      <c r="C686" s="213"/>
      <c r="D686" s="229"/>
    </row>
    <row r="687" spans="1:4" ht="13.8">
      <c r="A687" s="229"/>
      <c r="B687" s="309"/>
      <c r="C687" s="213"/>
      <c r="D687" s="229"/>
    </row>
    <row r="688" spans="1:4" ht="13.8">
      <c r="A688" s="229"/>
      <c r="B688" s="309"/>
      <c r="C688" s="213"/>
      <c r="D688" s="229"/>
    </row>
    <row r="689" spans="1:4" ht="13.8">
      <c r="A689" s="229"/>
      <c r="B689" s="309"/>
      <c r="C689" s="213"/>
      <c r="D689" s="229"/>
    </row>
    <row r="690" spans="1:4" ht="13.8">
      <c r="A690" s="229"/>
      <c r="B690" s="309"/>
      <c r="C690" s="213"/>
      <c r="D690" s="229"/>
    </row>
    <row r="691" spans="1:4" ht="13.8">
      <c r="A691" s="229"/>
      <c r="B691" s="309"/>
      <c r="C691" s="213"/>
      <c r="D691" s="229"/>
    </row>
    <row r="692" spans="1:4" ht="13.8">
      <c r="A692" s="229"/>
      <c r="B692" s="309"/>
      <c r="C692" s="213"/>
      <c r="D692" s="229"/>
    </row>
    <row r="693" spans="1:4" ht="13.8">
      <c r="A693" s="229"/>
      <c r="B693" s="309"/>
      <c r="C693" s="213"/>
      <c r="D693" s="229"/>
    </row>
    <row r="694" spans="1:4" ht="13.8">
      <c r="A694" s="229"/>
      <c r="B694" s="309"/>
      <c r="C694" s="213"/>
      <c r="D694" s="229"/>
    </row>
    <row r="695" spans="1:4" ht="13.8">
      <c r="A695" s="229"/>
      <c r="B695" s="309"/>
      <c r="C695" s="213"/>
      <c r="D695" s="229"/>
    </row>
    <row r="696" spans="1:4" ht="13.8">
      <c r="A696" s="229"/>
      <c r="B696" s="309"/>
      <c r="C696" s="213"/>
      <c r="D696" s="229"/>
    </row>
    <row r="697" spans="1:4" ht="13.8">
      <c r="A697" s="229"/>
      <c r="B697" s="309"/>
      <c r="C697" s="213"/>
      <c r="D697" s="229"/>
    </row>
    <row r="698" spans="1:4" ht="13.8">
      <c r="A698" s="229"/>
      <c r="B698" s="309"/>
      <c r="C698" s="213"/>
      <c r="D698" s="229"/>
    </row>
    <row r="699" spans="1:4" ht="13.8">
      <c r="A699" s="229"/>
      <c r="B699" s="309"/>
      <c r="C699" s="213"/>
      <c r="D699" s="229"/>
    </row>
    <row r="700" spans="1:4" ht="13.8">
      <c r="A700" s="229"/>
      <c r="B700" s="309"/>
      <c r="C700" s="213"/>
      <c r="D700" s="229"/>
    </row>
    <row r="701" spans="1:4" ht="13.8">
      <c r="A701" s="229"/>
      <c r="B701" s="309"/>
      <c r="C701" s="213"/>
      <c r="D701" s="229"/>
    </row>
    <row r="702" spans="1:4" ht="13.8">
      <c r="A702" s="229"/>
      <c r="B702" s="309"/>
      <c r="C702" s="213"/>
      <c r="D702" s="229"/>
    </row>
    <row r="703" spans="1:4" ht="13.8">
      <c r="A703" s="229"/>
      <c r="B703" s="309"/>
      <c r="C703" s="213"/>
      <c r="D703" s="229"/>
    </row>
    <row r="704" spans="1:4" ht="13.8">
      <c r="A704" s="229"/>
      <c r="B704" s="309"/>
      <c r="C704" s="213"/>
      <c r="D704" s="229"/>
    </row>
    <row r="705" spans="1:4" ht="13.8">
      <c r="A705" s="229"/>
      <c r="B705" s="309"/>
      <c r="C705" s="213"/>
      <c r="D705" s="229"/>
    </row>
    <row r="706" spans="1:4" ht="13.8">
      <c r="A706" s="229"/>
      <c r="B706" s="309"/>
      <c r="C706" s="213"/>
      <c r="D706" s="229"/>
    </row>
    <row r="707" spans="1:4" ht="13.8">
      <c r="A707" s="229"/>
      <c r="B707" s="309"/>
      <c r="C707" s="213"/>
      <c r="D707" s="229"/>
    </row>
    <row r="708" spans="1:4" ht="13.8">
      <c r="A708" s="229"/>
      <c r="B708" s="309"/>
      <c r="C708" s="213"/>
      <c r="D708" s="229"/>
    </row>
    <row r="709" spans="1:4" ht="13.8">
      <c r="A709" s="229"/>
      <c r="B709" s="309"/>
      <c r="C709" s="213"/>
      <c r="D709" s="229"/>
    </row>
    <row r="710" spans="1:4" ht="13.8">
      <c r="A710" s="229"/>
      <c r="B710" s="309"/>
      <c r="C710" s="213"/>
      <c r="D710" s="229"/>
    </row>
    <row r="711" spans="1:4" ht="13.8">
      <c r="A711" s="229"/>
      <c r="B711" s="309"/>
      <c r="C711" s="213"/>
      <c r="D711" s="229"/>
    </row>
    <row r="712" spans="1:4" ht="13.8">
      <c r="A712" s="229"/>
      <c r="B712" s="309"/>
      <c r="C712" s="213"/>
      <c r="D712" s="229"/>
    </row>
    <row r="713" spans="1:4" ht="13.8">
      <c r="A713" s="229"/>
      <c r="B713" s="309"/>
      <c r="C713" s="213"/>
      <c r="D713" s="229"/>
    </row>
    <row r="714" spans="1:4" ht="13.8">
      <c r="A714" s="229"/>
      <c r="B714" s="309"/>
      <c r="C714" s="213"/>
      <c r="D714" s="229"/>
    </row>
    <row r="715" spans="1:4" ht="13.8">
      <c r="A715" s="229"/>
      <c r="B715" s="309"/>
      <c r="C715" s="213"/>
      <c r="D715" s="229"/>
    </row>
    <row r="716" spans="1:4" ht="13.8">
      <c r="A716" s="229"/>
      <c r="B716" s="309"/>
      <c r="C716" s="213"/>
      <c r="D716" s="229"/>
    </row>
    <row r="717" spans="1:4" ht="13.8">
      <c r="A717" s="229"/>
      <c r="B717" s="309"/>
      <c r="C717" s="213"/>
      <c r="D717" s="229"/>
    </row>
    <row r="718" spans="1:4" ht="13.8">
      <c r="A718" s="229"/>
      <c r="B718" s="309"/>
      <c r="C718" s="213"/>
      <c r="D718" s="229"/>
    </row>
    <row r="719" spans="1:4" ht="13.8">
      <c r="A719" s="229"/>
      <c r="B719" s="309"/>
      <c r="C719" s="213"/>
      <c r="D719" s="229"/>
    </row>
    <row r="720" spans="1:4" ht="13.8">
      <c r="A720" s="229"/>
      <c r="B720" s="309"/>
      <c r="C720" s="213"/>
      <c r="D720" s="229"/>
    </row>
    <row r="721" spans="1:4" ht="13.8">
      <c r="A721" s="229"/>
      <c r="B721" s="309"/>
      <c r="C721" s="213"/>
      <c r="D721" s="229"/>
    </row>
    <row r="722" spans="1:4" ht="13.8">
      <c r="A722" s="229"/>
      <c r="B722" s="309"/>
      <c r="C722" s="213"/>
      <c r="D722" s="229"/>
    </row>
    <row r="723" spans="1:4" ht="13.8">
      <c r="A723" s="229"/>
      <c r="B723" s="309"/>
      <c r="C723" s="213"/>
      <c r="D723" s="229"/>
    </row>
    <row r="724" spans="1:4" ht="13.8">
      <c r="A724" s="229"/>
      <c r="B724" s="309"/>
      <c r="C724" s="213"/>
      <c r="D724" s="229"/>
    </row>
    <row r="725" spans="1:4" ht="13.8">
      <c r="A725" s="229"/>
      <c r="B725" s="309"/>
      <c r="C725" s="213"/>
      <c r="D725" s="229"/>
    </row>
    <row r="726" spans="1:4" ht="13.8">
      <c r="A726" s="229"/>
      <c r="B726" s="309"/>
      <c r="C726" s="213"/>
      <c r="D726" s="229"/>
    </row>
    <row r="727" spans="1:4" ht="13.8">
      <c r="A727" s="229"/>
      <c r="B727" s="309"/>
      <c r="C727" s="213"/>
      <c r="D727" s="229"/>
    </row>
    <row r="728" spans="1:4" ht="13.8">
      <c r="A728" s="229"/>
      <c r="B728" s="309"/>
      <c r="C728" s="213"/>
      <c r="D728" s="229"/>
    </row>
    <row r="729" spans="1:4" ht="13.8">
      <c r="A729" s="229"/>
      <c r="B729" s="309"/>
      <c r="C729" s="213"/>
      <c r="D729" s="229"/>
    </row>
    <row r="730" spans="1:4" ht="13.8">
      <c r="A730" s="229"/>
      <c r="B730" s="309"/>
      <c r="C730" s="213"/>
      <c r="D730" s="229"/>
    </row>
    <row r="731" spans="1:4" ht="13.8">
      <c r="A731" s="229"/>
      <c r="B731" s="309"/>
      <c r="C731" s="213"/>
      <c r="D731" s="229"/>
    </row>
    <row r="732" spans="1:4" ht="13.8">
      <c r="A732" s="229"/>
      <c r="B732" s="309"/>
      <c r="C732" s="213"/>
      <c r="D732" s="229"/>
    </row>
    <row r="733" spans="1:4" ht="13.8">
      <c r="A733" s="229"/>
      <c r="B733" s="309"/>
      <c r="C733" s="213"/>
      <c r="D733" s="229"/>
    </row>
    <row r="734" spans="1:4" ht="13.8">
      <c r="A734" s="229"/>
      <c r="B734" s="309"/>
      <c r="C734" s="213"/>
      <c r="D734" s="229"/>
    </row>
    <row r="735" spans="1:4" ht="13.8">
      <c r="A735" s="229"/>
      <c r="B735" s="309"/>
      <c r="C735" s="213"/>
      <c r="D735" s="229"/>
    </row>
    <row r="736" spans="1:4" ht="13.8">
      <c r="A736" s="229"/>
      <c r="B736" s="309"/>
      <c r="C736" s="213"/>
      <c r="D736" s="229"/>
    </row>
    <row r="737" spans="1:4" ht="13.8">
      <c r="A737" s="229"/>
      <c r="B737" s="309"/>
      <c r="C737" s="213"/>
      <c r="D737" s="229"/>
    </row>
    <row r="738" spans="1:4" ht="13.8">
      <c r="A738" s="229"/>
      <c r="B738" s="309"/>
      <c r="C738" s="213"/>
      <c r="D738" s="229"/>
    </row>
    <row r="739" spans="1:4" ht="13.8">
      <c r="A739" s="229"/>
      <c r="B739" s="309"/>
      <c r="C739" s="213"/>
      <c r="D739" s="229"/>
    </row>
    <row r="740" spans="1:4" ht="13.8">
      <c r="A740" s="229"/>
      <c r="B740" s="309"/>
      <c r="C740" s="213"/>
      <c r="D740" s="229"/>
    </row>
    <row r="741" spans="1:4" ht="13.8">
      <c r="A741" s="229"/>
      <c r="B741" s="309"/>
      <c r="C741" s="213"/>
      <c r="D741" s="229"/>
    </row>
    <row r="742" spans="1:4" ht="13.8">
      <c r="A742" s="229"/>
      <c r="B742" s="309"/>
      <c r="C742" s="213"/>
      <c r="D742" s="229"/>
    </row>
    <row r="743" spans="1:4" ht="13.8">
      <c r="A743" s="229"/>
      <c r="B743" s="309"/>
      <c r="C743" s="213"/>
      <c r="D743" s="229"/>
    </row>
    <row r="744" spans="1:4" ht="13.8">
      <c r="A744" s="229"/>
      <c r="B744" s="309"/>
      <c r="C744" s="213"/>
      <c r="D744" s="229"/>
    </row>
    <row r="745" spans="1:4" ht="13.8">
      <c r="A745" s="229"/>
      <c r="B745" s="309"/>
      <c r="C745" s="213"/>
      <c r="D745" s="229"/>
    </row>
    <row r="746" spans="1:4" ht="13.8">
      <c r="A746" s="229"/>
      <c r="B746" s="309"/>
      <c r="C746" s="213"/>
      <c r="D746" s="229"/>
    </row>
    <row r="747" spans="1:4" ht="13.8">
      <c r="A747" s="229"/>
      <c r="B747" s="309"/>
      <c r="C747" s="213"/>
      <c r="D747" s="229"/>
    </row>
    <row r="748" spans="1:4" ht="13.8">
      <c r="A748" s="229"/>
      <c r="B748" s="309"/>
      <c r="C748" s="213"/>
      <c r="D748" s="229"/>
    </row>
    <row r="749" spans="1:4" ht="13.8">
      <c r="A749" s="229"/>
      <c r="B749" s="309"/>
      <c r="C749" s="213"/>
      <c r="D749" s="229"/>
    </row>
    <row r="750" spans="1:4" ht="13.8">
      <c r="A750" s="229"/>
      <c r="B750" s="309"/>
      <c r="C750" s="213"/>
      <c r="D750" s="229"/>
    </row>
    <row r="751" spans="1:4" ht="13.8">
      <c r="A751" s="229"/>
      <c r="B751" s="309"/>
      <c r="C751" s="213"/>
      <c r="D751" s="229"/>
    </row>
    <row r="752" spans="1:4" ht="13.8">
      <c r="A752" s="229"/>
      <c r="B752" s="309"/>
      <c r="C752" s="213"/>
      <c r="D752" s="229"/>
    </row>
    <row r="753" spans="1:4" ht="13.8">
      <c r="A753" s="229"/>
      <c r="B753" s="309"/>
      <c r="C753" s="213"/>
      <c r="D753" s="229"/>
    </row>
    <row r="754" spans="1:4" ht="13.8">
      <c r="A754" s="229"/>
      <c r="B754" s="309"/>
      <c r="C754" s="213"/>
      <c r="D754" s="229"/>
    </row>
    <row r="755" spans="1:4" ht="13.8">
      <c r="A755" s="229"/>
      <c r="B755" s="309"/>
      <c r="C755" s="213"/>
      <c r="D755" s="229"/>
    </row>
    <row r="756" spans="1:4" ht="13.8">
      <c r="A756" s="229"/>
      <c r="B756" s="309"/>
      <c r="C756" s="213"/>
      <c r="D756" s="229"/>
    </row>
    <row r="757" spans="1:4" ht="13.8">
      <c r="A757" s="229"/>
      <c r="B757" s="309"/>
      <c r="C757" s="213"/>
      <c r="D757" s="229"/>
    </row>
    <row r="758" spans="1:4" ht="13.8">
      <c r="A758" s="229"/>
      <c r="B758" s="309"/>
      <c r="C758" s="213"/>
      <c r="D758" s="229"/>
    </row>
    <row r="759" spans="1:4" ht="13.8">
      <c r="A759" s="229"/>
      <c r="B759" s="309"/>
      <c r="C759" s="213"/>
      <c r="D759" s="229"/>
    </row>
    <row r="760" spans="1:4" ht="13.8">
      <c r="A760" s="229"/>
      <c r="B760" s="309"/>
      <c r="C760" s="213"/>
      <c r="D760" s="229"/>
    </row>
    <row r="761" spans="1:4" ht="13.8">
      <c r="A761" s="229"/>
      <c r="B761" s="309"/>
      <c r="C761" s="213"/>
      <c r="D761" s="229"/>
    </row>
    <row r="762" spans="1:4" ht="13.8">
      <c r="A762" s="229"/>
      <c r="B762" s="309"/>
      <c r="C762" s="213"/>
      <c r="D762" s="229"/>
    </row>
    <row r="763" spans="1:4" ht="13.8">
      <c r="A763" s="229"/>
      <c r="B763" s="309"/>
      <c r="C763" s="213"/>
      <c r="D763" s="229"/>
    </row>
    <row r="764" spans="1:4" ht="13.8">
      <c r="A764" s="229"/>
      <c r="B764" s="309"/>
      <c r="C764" s="213"/>
      <c r="D764" s="229"/>
    </row>
    <row r="765" spans="1:4" ht="13.8">
      <c r="A765" s="229"/>
      <c r="B765" s="309"/>
      <c r="C765" s="213"/>
      <c r="D765" s="229"/>
    </row>
    <row r="766" spans="1:4" ht="13.8">
      <c r="A766" s="229"/>
      <c r="B766" s="309"/>
      <c r="C766" s="213"/>
      <c r="D766" s="229"/>
    </row>
    <row r="767" spans="1:4" ht="13.8">
      <c r="A767" s="229"/>
      <c r="B767" s="309"/>
      <c r="C767" s="213"/>
      <c r="D767" s="229"/>
    </row>
    <row r="768" spans="1:4" ht="13.8">
      <c r="A768" s="229"/>
      <c r="B768" s="309"/>
      <c r="C768" s="213"/>
      <c r="D768" s="229"/>
    </row>
    <row r="769" spans="1:4" ht="13.8">
      <c r="A769" s="229"/>
      <c r="B769" s="309"/>
      <c r="C769" s="213"/>
      <c r="D769" s="229"/>
    </row>
    <row r="770" spans="1:4" ht="13.8">
      <c r="A770" s="229"/>
      <c r="B770" s="309"/>
      <c r="C770" s="213"/>
      <c r="D770" s="229"/>
    </row>
    <row r="771" spans="1:4" ht="13.8">
      <c r="A771" s="229"/>
      <c r="B771" s="309"/>
      <c r="C771" s="213"/>
      <c r="D771" s="229"/>
    </row>
    <row r="772" spans="1:4" ht="13.8">
      <c r="A772" s="229"/>
      <c r="B772" s="309"/>
      <c r="C772" s="213"/>
      <c r="D772" s="229"/>
    </row>
    <row r="773" spans="1:4" ht="13.8">
      <c r="A773" s="229"/>
      <c r="B773" s="309"/>
      <c r="C773" s="213"/>
      <c r="D773" s="229"/>
    </row>
    <row r="774" spans="1:4" ht="13.8">
      <c r="A774" s="229"/>
      <c r="B774" s="309"/>
      <c r="C774" s="213"/>
      <c r="D774" s="229"/>
    </row>
    <row r="775" spans="1:4" ht="13.8">
      <c r="A775" s="229"/>
      <c r="B775" s="309"/>
      <c r="C775" s="213"/>
      <c r="D775" s="229"/>
    </row>
    <row r="776" spans="1:4" ht="13.8">
      <c r="A776" s="229"/>
      <c r="B776" s="309"/>
      <c r="C776" s="213"/>
      <c r="D776" s="229"/>
    </row>
    <row r="777" spans="1:4" ht="13.8">
      <c r="A777" s="229"/>
      <c r="B777" s="309"/>
      <c r="C777" s="213"/>
      <c r="D777" s="229"/>
    </row>
    <row r="778" spans="1:4" ht="13.8">
      <c r="A778" s="229"/>
      <c r="B778" s="309"/>
      <c r="C778" s="213"/>
      <c r="D778" s="229"/>
    </row>
    <row r="779" spans="1:4" ht="13.8">
      <c r="A779" s="229"/>
      <c r="B779" s="309"/>
      <c r="C779" s="213"/>
      <c r="D779" s="229"/>
    </row>
    <row r="780" spans="1:4" ht="13.8">
      <c r="A780" s="229"/>
      <c r="B780" s="309"/>
      <c r="C780" s="213"/>
      <c r="D780" s="229"/>
    </row>
    <row r="781" spans="1:4" ht="13.8">
      <c r="A781" s="229"/>
      <c r="B781" s="309"/>
      <c r="C781" s="213"/>
      <c r="D781" s="229"/>
    </row>
    <row r="782" spans="1:4" ht="13.8">
      <c r="A782" s="229"/>
      <c r="B782" s="309"/>
      <c r="C782" s="213"/>
      <c r="D782" s="229"/>
    </row>
    <row r="783" spans="1:4" ht="13.8">
      <c r="A783" s="229"/>
      <c r="B783" s="309"/>
      <c r="C783" s="213"/>
      <c r="D783" s="229"/>
    </row>
    <row r="784" spans="1:4" ht="13.8">
      <c r="A784" s="229"/>
      <c r="B784" s="309"/>
      <c r="C784" s="213"/>
      <c r="D784" s="229"/>
    </row>
    <row r="785" spans="1:4" ht="13.8">
      <c r="A785" s="229"/>
      <c r="B785" s="309"/>
      <c r="C785" s="213"/>
      <c r="D785" s="229"/>
    </row>
    <row r="786" spans="1:4" ht="13.8">
      <c r="A786" s="229"/>
      <c r="B786" s="309"/>
      <c r="C786" s="213"/>
      <c r="D786" s="229"/>
    </row>
    <row r="787" spans="1:4" ht="13.8">
      <c r="A787" s="229"/>
      <c r="B787" s="309"/>
      <c r="C787" s="213"/>
      <c r="D787" s="229"/>
    </row>
    <row r="788" spans="1:4" ht="13.8">
      <c r="A788" s="229"/>
      <c r="B788" s="309"/>
      <c r="C788" s="213"/>
      <c r="D788" s="229"/>
    </row>
    <row r="789" spans="1:4" ht="13.8">
      <c r="A789" s="229"/>
      <c r="B789" s="309"/>
      <c r="C789" s="213"/>
      <c r="D789" s="229"/>
    </row>
    <row r="790" spans="1:4" ht="13.8">
      <c r="A790" s="229"/>
      <c r="B790" s="309"/>
      <c r="C790" s="213"/>
      <c r="D790" s="229"/>
    </row>
    <row r="791" spans="1:4" ht="13.8">
      <c r="A791" s="229"/>
      <c r="B791" s="309"/>
      <c r="C791" s="213"/>
      <c r="D791" s="229"/>
    </row>
    <row r="792" spans="1:4" ht="13.8">
      <c r="A792" s="229"/>
      <c r="B792" s="309"/>
      <c r="C792" s="213"/>
      <c r="D792" s="229"/>
    </row>
    <row r="793" spans="1:4" ht="13.8">
      <c r="A793" s="229"/>
      <c r="B793" s="309"/>
      <c r="C793" s="213"/>
      <c r="D793" s="229"/>
    </row>
    <row r="794" spans="1:4" ht="13.8">
      <c r="A794" s="229"/>
      <c r="B794" s="309"/>
      <c r="C794" s="213"/>
      <c r="D794" s="229"/>
    </row>
    <row r="795" spans="1:4" ht="13.8">
      <c r="A795" s="229"/>
      <c r="B795" s="309"/>
      <c r="C795" s="213"/>
      <c r="D795" s="229"/>
    </row>
    <row r="796" spans="1:4" ht="13.8">
      <c r="A796" s="229"/>
      <c r="B796" s="309"/>
      <c r="C796" s="213"/>
      <c r="D796" s="229"/>
    </row>
    <row r="797" spans="1:4" ht="13.8">
      <c r="A797" s="229"/>
      <c r="B797" s="309"/>
      <c r="C797" s="213"/>
      <c r="D797" s="229"/>
    </row>
    <row r="798" spans="1:4" ht="13.8">
      <c r="A798" s="229"/>
      <c r="B798" s="309"/>
      <c r="C798" s="213"/>
      <c r="D798" s="229"/>
    </row>
    <row r="799" spans="1:4" ht="13.8">
      <c r="A799" s="229"/>
      <c r="B799" s="309"/>
      <c r="C799" s="213"/>
      <c r="D799" s="229"/>
    </row>
    <row r="800" spans="1:4" ht="13.8">
      <c r="A800" s="229"/>
      <c r="B800" s="309"/>
      <c r="C800" s="213"/>
      <c r="D800" s="229"/>
    </row>
    <row r="801" spans="1:4" ht="13.8">
      <c r="A801" s="229"/>
      <c r="B801" s="309"/>
      <c r="C801" s="213"/>
      <c r="D801" s="229"/>
    </row>
    <row r="802" spans="1:4" ht="13.8">
      <c r="A802" s="229"/>
      <c r="B802" s="309"/>
      <c r="C802" s="213"/>
      <c r="D802" s="229"/>
    </row>
    <row r="803" spans="1:4" ht="13.8">
      <c r="A803" s="229"/>
      <c r="B803" s="309"/>
      <c r="C803" s="213"/>
      <c r="D803" s="229"/>
    </row>
    <row r="804" spans="1:4" ht="13.8">
      <c r="A804" s="229"/>
      <c r="B804" s="309"/>
      <c r="C804" s="213"/>
      <c r="D804" s="229"/>
    </row>
    <row r="805" spans="1:4" ht="13.8">
      <c r="A805" s="229"/>
      <c r="B805" s="309"/>
      <c r="C805" s="213"/>
      <c r="D805" s="229"/>
    </row>
    <row r="806" spans="1:4" ht="13.8">
      <c r="A806" s="229"/>
      <c r="B806" s="309"/>
      <c r="C806" s="213"/>
      <c r="D806" s="229"/>
    </row>
    <row r="807" spans="1:4" ht="13.8">
      <c r="A807" s="229"/>
      <c r="B807" s="309"/>
      <c r="C807" s="213"/>
      <c r="D807" s="229"/>
    </row>
    <row r="808" spans="1:4" ht="13.8">
      <c r="A808" s="229"/>
      <c r="B808" s="309"/>
      <c r="C808" s="213"/>
      <c r="D808" s="229"/>
    </row>
    <row r="809" spans="1:4" ht="13.8">
      <c r="A809" s="229"/>
      <c r="B809" s="309"/>
      <c r="C809" s="213"/>
      <c r="D809" s="229"/>
    </row>
    <row r="810" spans="1:4" ht="13.8">
      <c r="A810" s="229"/>
      <c r="B810" s="309"/>
      <c r="C810" s="213"/>
      <c r="D810" s="229"/>
    </row>
    <row r="811" spans="1:4" ht="13.8">
      <c r="A811" s="229"/>
      <c r="B811" s="309"/>
      <c r="C811" s="213"/>
      <c r="D811" s="229"/>
    </row>
    <row r="812" spans="1:4" ht="13.8">
      <c r="A812" s="229"/>
      <c r="B812" s="309"/>
      <c r="C812" s="213"/>
      <c r="D812" s="229"/>
    </row>
    <row r="813" spans="1:4" ht="13.8">
      <c r="A813" s="229"/>
      <c r="B813" s="309"/>
      <c r="C813" s="213"/>
      <c r="D813" s="229"/>
    </row>
    <row r="814" spans="1:4" ht="13.8">
      <c r="A814" s="229"/>
      <c r="B814" s="309"/>
      <c r="C814" s="213"/>
      <c r="D814" s="229"/>
    </row>
    <row r="815" spans="1:4" ht="13.8">
      <c r="A815" s="229"/>
      <c r="B815" s="309"/>
      <c r="C815" s="213"/>
      <c r="D815" s="229"/>
    </row>
    <row r="816" spans="1:4" ht="13.8">
      <c r="A816" s="229"/>
      <c r="B816" s="309"/>
      <c r="C816" s="213"/>
      <c r="D816" s="229"/>
    </row>
    <row r="817" spans="1:4" ht="13.8">
      <c r="A817" s="229"/>
      <c r="B817" s="309"/>
      <c r="C817" s="213"/>
      <c r="D817" s="229"/>
    </row>
    <row r="818" spans="1:4" ht="13.8">
      <c r="A818" s="229"/>
      <c r="B818" s="309"/>
      <c r="C818" s="213"/>
      <c r="D818" s="229"/>
    </row>
    <row r="819" spans="1:4" ht="13.8">
      <c r="A819" s="229"/>
      <c r="B819" s="309"/>
      <c r="C819" s="213"/>
      <c r="D819" s="229"/>
    </row>
    <row r="820" spans="1:4" ht="13.8">
      <c r="A820" s="229"/>
      <c r="B820" s="309"/>
      <c r="C820" s="213"/>
      <c r="D820" s="229"/>
    </row>
    <row r="821" spans="1:4" ht="13.8">
      <c r="A821" s="229"/>
      <c r="B821" s="309"/>
      <c r="C821" s="213"/>
      <c r="D821" s="229"/>
    </row>
    <row r="822" spans="1:4" ht="13.8">
      <c r="A822" s="229"/>
      <c r="B822" s="309"/>
      <c r="C822" s="213"/>
      <c r="D822" s="229"/>
    </row>
    <row r="823" spans="1:4" ht="13.8">
      <c r="A823" s="229"/>
      <c r="B823" s="309"/>
      <c r="C823" s="213"/>
      <c r="D823" s="229"/>
    </row>
    <row r="824" spans="1:4" ht="13.8">
      <c r="A824" s="229"/>
      <c r="B824" s="309"/>
      <c r="C824" s="213"/>
      <c r="D824" s="229"/>
    </row>
    <row r="825" spans="1:4" ht="13.8">
      <c r="A825" s="229"/>
      <c r="B825" s="309"/>
      <c r="C825" s="213"/>
      <c r="D825" s="229"/>
    </row>
    <row r="826" spans="1:4" ht="13.8">
      <c r="A826" s="229"/>
      <c r="B826" s="309"/>
      <c r="C826" s="213"/>
      <c r="D826" s="229"/>
    </row>
    <row r="827" spans="1:4" ht="13.8">
      <c r="A827" s="229"/>
      <c r="B827" s="309"/>
      <c r="C827" s="213"/>
      <c r="D827" s="229"/>
    </row>
    <row r="828" spans="1:4" ht="13.8">
      <c r="A828" s="229"/>
      <c r="B828" s="309"/>
      <c r="C828" s="213"/>
      <c r="D828" s="229"/>
    </row>
    <row r="829" spans="1:4" ht="13.8">
      <c r="A829" s="229"/>
      <c r="B829" s="309"/>
      <c r="C829" s="213"/>
      <c r="D829" s="229"/>
    </row>
    <row r="830" spans="1:4" ht="13.8">
      <c r="A830" s="229"/>
      <c r="B830" s="309"/>
      <c r="C830" s="213"/>
      <c r="D830" s="229"/>
    </row>
    <row r="831" spans="1:4" ht="13.8">
      <c r="A831" s="229"/>
      <c r="B831" s="309"/>
      <c r="C831" s="213"/>
      <c r="D831" s="229"/>
    </row>
    <row r="832" spans="1:4" ht="13.8">
      <c r="A832" s="229"/>
      <c r="B832" s="309"/>
      <c r="C832" s="213"/>
      <c r="D832" s="229"/>
    </row>
    <row r="833" spans="1:4" ht="13.8">
      <c r="A833" s="229"/>
      <c r="B833" s="309"/>
      <c r="C833" s="213"/>
      <c r="D833" s="229"/>
    </row>
    <row r="834" spans="1:4" ht="13.8">
      <c r="A834" s="229"/>
      <c r="B834" s="309"/>
      <c r="C834" s="213"/>
      <c r="D834" s="229"/>
    </row>
    <row r="835" spans="1:4" ht="13.8">
      <c r="A835" s="229"/>
      <c r="B835" s="309"/>
      <c r="C835" s="213"/>
      <c r="D835" s="229"/>
    </row>
    <row r="836" spans="1:4" ht="13.8">
      <c r="A836" s="229"/>
      <c r="B836" s="309"/>
      <c r="C836" s="213"/>
      <c r="D836" s="229"/>
    </row>
    <row r="837" spans="1:4" ht="13.8">
      <c r="A837" s="229"/>
      <c r="B837" s="309"/>
      <c r="C837" s="213"/>
      <c r="D837" s="229"/>
    </row>
    <row r="838" spans="1:4" ht="13.8">
      <c r="A838" s="229"/>
      <c r="B838" s="309"/>
      <c r="C838" s="213"/>
      <c r="D838" s="229"/>
    </row>
    <row r="839" spans="1:4" ht="13.8">
      <c r="A839" s="229"/>
      <c r="B839" s="309"/>
      <c r="C839" s="213"/>
      <c r="D839" s="229"/>
    </row>
    <row r="840" spans="1:4" ht="13.8">
      <c r="A840" s="229"/>
      <c r="B840" s="309"/>
      <c r="C840" s="213"/>
      <c r="D840" s="229"/>
    </row>
    <row r="841" spans="1:4" ht="13.8">
      <c r="A841" s="229"/>
      <c r="B841" s="309"/>
      <c r="C841" s="213"/>
      <c r="D841" s="229"/>
    </row>
    <row r="842" spans="1:4" ht="13.8">
      <c r="A842" s="229"/>
      <c r="B842" s="309"/>
      <c r="C842" s="213"/>
      <c r="D842" s="229"/>
    </row>
    <row r="843" spans="1:4" ht="13.8">
      <c r="A843" s="229"/>
      <c r="B843" s="309"/>
      <c r="C843" s="213"/>
      <c r="D843" s="229"/>
    </row>
    <row r="844" spans="1:4" ht="13.8">
      <c r="A844" s="229"/>
      <c r="B844" s="309"/>
      <c r="C844" s="213"/>
      <c r="D844" s="229"/>
    </row>
    <row r="845" spans="1:4" ht="13.8">
      <c r="A845" s="229"/>
      <c r="B845" s="309"/>
      <c r="C845" s="213"/>
      <c r="D845" s="229"/>
    </row>
    <row r="846" spans="1:4" ht="13.8">
      <c r="A846" s="229"/>
      <c r="B846" s="309"/>
      <c r="C846" s="213"/>
      <c r="D846" s="229"/>
    </row>
    <row r="847" spans="1:4" ht="13.8">
      <c r="A847" s="229"/>
      <c r="B847" s="309"/>
      <c r="C847" s="213"/>
      <c r="D847" s="229"/>
    </row>
    <row r="848" spans="1:4" ht="13.8">
      <c r="A848" s="229"/>
      <c r="B848" s="309"/>
      <c r="C848" s="213"/>
      <c r="D848" s="229"/>
    </row>
    <row r="849" spans="1:4" ht="13.8">
      <c r="A849" s="229"/>
      <c r="B849" s="309"/>
      <c r="C849" s="213"/>
      <c r="D849" s="229"/>
    </row>
    <row r="850" spans="1:4" ht="13.8">
      <c r="A850" s="229"/>
      <c r="B850" s="309"/>
      <c r="C850" s="213"/>
      <c r="D850" s="229"/>
    </row>
    <row r="851" spans="1:4" ht="13.8">
      <c r="A851" s="229"/>
      <c r="B851" s="309"/>
      <c r="C851" s="213"/>
      <c r="D851" s="229"/>
    </row>
    <row r="852" spans="1:4" ht="13.8">
      <c r="A852" s="229"/>
      <c r="B852" s="309"/>
      <c r="C852" s="213"/>
      <c r="D852" s="229"/>
    </row>
    <row r="853" spans="1:4" ht="13.8">
      <c r="A853" s="229"/>
      <c r="B853" s="309"/>
      <c r="C853" s="213"/>
      <c r="D853" s="229"/>
    </row>
    <row r="854" spans="1:4" ht="13.8">
      <c r="A854" s="229"/>
      <c r="B854" s="309"/>
      <c r="C854" s="213"/>
      <c r="D854" s="229"/>
    </row>
    <row r="855" spans="1:4" ht="13.8">
      <c r="A855" s="229"/>
      <c r="B855" s="309"/>
      <c r="C855" s="213"/>
      <c r="D855" s="229"/>
    </row>
    <row r="856" spans="1:4" ht="13.8">
      <c r="A856" s="229"/>
      <c r="B856" s="309"/>
      <c r="C856" s="213"/>
      <c r="D856" s="229"/>
    </row>
    <row r="857" spans="1:4" ht="13.8">
      <c r="A857" s="229"/>
      <c r="B857" s="309"/>
      <c r="C857" s="213"/>
      <c r="D857" s="229"/>
    </row>
    <row r="858" spans="1:4" ht="13.8">
      <c r="A858" s="229"/>
      <c r="B858" s="309"/>
      <c r="C858" s="213"/>
      <c r="D858" s="229"/>
    </row>
    <row r="859" spans="1:4" ht="13.8">
      <c r="A859" s="229"/>
      <c r="B859" s="309"/>
      <c r="C859" s="213"/>
      <c r="D859" s="229"/>
    </row>
    <row r="860" spans="1:4" ht="13.8">
      <c r="A860" s="229"/>
      <c r="B860" s="309"/>
      <c r="C860" s="213"/>
      <c r="D860" s="229"/>
    </row>
    <row r="861" spans="1:4" ht="13.8">
      <c r="A861" s="229"/>
      <c r="B861" s="309"/>
      <c r="C861" s="213"/>
      <c r="D861" s="229"/>
    </row>
    <row r="862" spans="1:4" ht="13.8">
      <c r="A862" s="229"/>
      <c r="B862" s="309"/>
      <c r="C862" s="213"/>
      <c r="D862" s="229"/>
    </row>
    <row r="863" spans="1:4" ht="13.8">
      <c r="A863" s="229"/>
      <c r="B863" s="309"/>
      <c r="C863" s="213"/>
      <c r="D863" s="229"/>
    </row>
    <row r="864" spans="1:4" ht="13.8">
      <c r="A864" s="229"/>
      <c r="B864" s="309"/>
      <c r="C864" s="213"/>
      <c r="D864" s="229"/>
    </row>
    <row r="865" spans="1:4" ht="13.8">
      <c r="A865" s="229"/>
      <c r="B865" s="309"/>
      <c r="C865" s="213"/>
      <c r="D865" s="229"/>
    </row>
    <row r="866" spans="1:4" ht="13.8">
      <c r="A866" s="229"/>
      <c r="B866" s="309"/>
      <c r="C866" s="213"/>
      <c r="D866" s="229"/>
    </row>
    <row r="867" spans="1:4" ht="13.8">
      <c r="A867" s="229"/>
      <c r="B867" s="309"/>
      <c r="C867" s="213"/>
      <c r="D867" s="229"/>
    </row>
    <row r="868" spans="1:4" ht="13.8">
      <c r="A868" s="229"/>
      <c r="B868" s="309"/>
      <c r="C868" s="213"/>
      <c r="D868" s="229"/>
    </row>
    <row r="869" spans="1:4" ht="13.8">
      <c r="A869" s="229"/>
      <c r="B869" s="309"/>
      <c r="C869" s="213"/>
      <c r="D869" s="229"/>
    </row>
    <row r="870" spans="1:4" ht="13.8">
      <c r="A870" s="229"/>
      <c r="B870" s="309"/>
      <c r="C870" s="213"/>
      <c r="D870" s="229"/>
    </row>
    <row r="871" spans="1:4" ht="13.8">
      <c r="A871" s="229"/>
      <c r="B871" s="309"/>
      <c r="C871" s="213"/>
      <c r="D871" s="229"/>
    </row>
    <row r="872" spans="1:4" ht="13.8">
      <c r="A872" s="229"/>
      <c r="B872" s="309"/>
      <c r="C872" s="213"/>
      <c r="D872" s="229"/>
    </row>
    <row r="873" spans="1:4" ht="13.8">
      <c r="A873" s="229"/>
      <c r="B873" s="309"/>
      <c r="C873" s="213"/>
      <c r="D873" s="229"/>
    </row>
    <row r="874" spans="1:4" ht="13.8">
      <c r="A874" s="229"/>
      <c r="B874" s="309"/>
      <c r="C874" s="213"/>
      <c r="D874" s="229"/>
    </row>
    <row r="875" spans="1:4" ht="13.8">
      <c r="A875" s="229"/>
      <c r="B875" s="309"/>
      <c r="C875" s="213"/>
      <c r="D875" s="229"/>
    </row>
    <row r="876" spans="1:4" ht="13.8">
      <c r="A876" s="229"/>
      <c r="B876" s="309"/>
      <c r="C876" s="213"/>
      <c r="D876" s="229"/>
    </row>
    <row r="877" spans="1:4" ht="13.8">
      <c r="A877" s="229"/>
      <c r="B877" s="309"/>
      <c r="C877" s="213"/>
      <c r="D877" s="229"/>
    </row>
    <row r="878" spans="1:4" ht="13.8">
      <c r="A878" s="229"/>
      <c r="B878" s="309"/>
      <c r="C878" s="213"/>
      <c r="D878" s="229"/>
    </row>
    <row r="879" spans="1:4" ht="13.8">
      <c r="A879" s="229"/>
      <c r="B879" s="309"/>
      <c r="C879" s="213"/>
      <c r="D879" s="229"/>
    </row>
    <row r="880" spans="1:4" ht="13.8">
      <c r="A880" s="229"/>
      <c r="B880" s="309"/>
      <c r="C880" s="213"/>
      <c r="D880" s="229"/>
    </row>
    <row r="881" spans="1:4" ht="13.8">
      <c r="A881" s="229"/>
      <c r="B881" s="309"/>
      <c r="C881" s="213"/>
      <c r="D881" s="229"/>
    </row>
    <row r="882" spans="1:4" ht="13.8">
      <c r="A882" s="229"/>
      <c r="B882" s="309"/>
      <c r="C882" s="213"/>
      <c r="D882" s="229"/>
    </row>
    <row r="883" spans="1:4" ht="13.8">
      <c r="A883" s="229"/>
      <c r="B883" s="309"/>
      <c r="C883" s="213"/>
      <c r="D883" s="229"/>
    </row>
    <row r="884" spans="1:4" ht="13.8">
      <c r="A884" s="229"/>
      <c r="B884" s="309"/>
      <c r="C884" s="213"/>
      <c r="D884" s="229"/>
    </row>
    <row r="885" spans="1:4" ht="13.8">
      <c r="A885" s="229"/>
      <c r="B885" s="309"/>
      <c r="C885" s="213"/>
      <c r="D885" s="229"/>
    </row>
    <row r="886" spans="1:4" ht="13.8">
      <c r="A886" s="229"/>
      <c r="B886" s="309"/>
      <c r="C886" s="213"/>
      <c r="D886" s="229"/>
    </row>
    <row r="887" spans="1:4" ht="13.8">
      <c r="A887" s="229"/>
      <c r="B887" s="309"/>
      <c r="C887" s="213"/>
      <c r="D887" s="229"/>
    </row>
    <row r="888" spans="1:4" ht="13.8">
      <c r="A888" s="229"/>
      <c r="B888" s="309"/>
      <c r="C888" s="213"/>
      <c r="D888" s="229"/>
    </row>
    <row r="889" spans="1:4" ht="13.8">
      <c r="A889" s="229"/>
      <c r="B889" s="309"/>
      <c r="C889" s="213"/>
      <c r="D889" s="229"/>
    </row>
    <row r="890" spans="1:4" ht="13.8">
      <c r="A890" s="229"/>
      <c r="B890" s="309"/>
      <c r="C890" s="213"/>
      <c r="D890" s="229"/>
    </row>
    <row r="891" spans="1:4" ht="13.8">
      <c r="A891" s="229"/>
      <c r="B891" s="309"/>
      <c r="C891" s="213"/>
      <c r="D891" s="229"/>
    </row>
    <row r="892" spans="1:4" ht="13.8">
      <c r="A892" s="229"/>
      <c r="B892" s="309"/>
      <c r="C892" s="213"/>
      <c r="D892" s="229"/>
    </row>
    <row r="893" spans="1:4" ht="13.8">
      <c r="A893" s="229"/>
      <c r="B893" s="309"/>
      <c r="C893" s="213"/>
      <c r="D893" s="229"/>
    </row>
    <row r="894" spans="1:4" ht="13.8">
      <c r="A894" s="229"/>
      <c r="B894" s="309"/>
      <c r="C894" s="213"/>
      <c r="D894" s="229"/>
    </row>
    <row r="895" spans="1:4" ht="13.8">
      <c r="A895" s="229"/>
      <c r="B895" s="309"/>
      <c r="C895" s="213"/>
      <c r="D895" s="229"/>
    </row>
    <row r="896" spans="1:4" ht="13.8">
      <c r="A896" s="229"/>
      <c r="B896" s="309"/>
      <c r="C896" s="213"/>
      <c r="D896" s="229"/>
    </row>
    <row r="897" spans="1:4" ht="13.8">
      <c r="A897" s="229"/>
      <c r="B897" s="309"/>
      <c r="C897" s="213"/>
      <c r="D897" s="229"/>
    </row>
    <row r="898" spans="1:4" ht="13.8">
      <c r="A898" s="229"/>
      <c r="B898" s="309"/>
      <c r="C898" s="213"/>
      <c r="D898" s="229"/>
    </row>
    <row r="899" spans="1:4" ht="13.8">
      <c r="A899" s="229"/>
      <c r="B899" s="309"/>
      <c r="C899" s="213"/>
      <c r="D899" s="229"/>
    </row>
    <row r="900" spans="1:4" ht="13.8">
      <c r="A900" s="229"/>
      <c r="B900" s="309"/>
      <c r="C900" s="213"/>
      <c r="D900" s="229"/>
    </row>
    <row r="901" spans="1:4" ht="13.8">
      <c r="A901" s="229"/>
      <c r="B901" s="309"/>
      <c r="C901" s="213"/>
      <c r="D901" s="229"/>
    </row>
    <row r="902" spans="1:4" ht="13.8">
      <c r="A902" s="229"/>
      <c r="B902" s="309"/>
      <c r="C902" s="213"/>
      <c r="D902" s="229"/>
    </row>
    <row r="903" spans="1:4" ht="13.8">
      <c r="A903" s="229"/>
      <c r="B903" s="309"/>
      <c r="C903" s="213"/>
      <c r="D903" s="229"/>
    </row>
    <row r="904" spans="1:4" ht="13.8">
      <c r="A904" s="229"/>
      <c r="B904" s="309"/>
      <c r="C904" s="213"/>
      <c r="D904" s="229"/>
    </row>
    <row r="905" spans="1:4" ht="13.8">
      <c r="A905" s="229"/>
      <c r="B905" s="309"/>
      <c r="C905" s="213"/>
      <c r="D905" s="229"/>
    </row>
    <row r="906" spans="1:4" ht="13.8">
      <c r="A906" s="229"/>
      <c r="B906" s="309"/>
      <c r="C906" s="213"/>
      <c r="D906" s="229"/>
    </row>
    <row r="907" spans="1:4" ht="13.8">
      <c r="A907" s="229"/>
      <c r="B907" s="309"/>
      <c r="C907" s="213"/>
      <c r="D907" s="229"/>
    </row>
    <row r="908" spans="1:4" ht="13.8">
      <c r="A908" s="229"/>
      <c r="B908" s="309"/>
      <c r="C908" s="213"/>
      <c r="D908" s="229"/>
    </row>
    <row r="909" spans="1:4" ht="13.8">
      <c r="A909" s="229"/>
      <c r="B909" s="309"/>
      <c r="C909" s="213"/>
      <c r="D909" s="229"/>
    </row>
    <row r="910" spans="1:4" ht="13.8">
      <c r="A910" s="229"/>
      <c r="B910" s="309"/>
      <c r="C910" s="213"/>
      <c r="D910" s="229"/>
    </row>
    <row r="911" spans="1:4" ht="13.8">
      <c r="A911" s="229"/>
      <c r="B911" s="309"/>
      <c r="C911" s="213"/>
      <c r="D911" s="229"/>
    </row>
    <row r="912" spans="1:4" ht="13.8">
      <c r="A912" s="229"/>
      <c r="B912" s="309"/>
      <c r="C912" s="213"/>
      <c r="D912" s="229"/>
    </row>
    <row r="913" spans="1:4" ht="13.8">
      <c r="A913" s="229"/>
      <c r="B913" s="309"/>
      <c r="C913" s="213"/>
      <c r="D913" s="229"/>
    </row>
    <row r="914" spans="1:4" ht="13.8">
      <c r="A914" s="229"/>
      <c r="B914" s="309"/>
      <c r="C914" s="213"/>
      <c r="D914" s="229"/>
    </row>
    <row r="915" spans="1:4" ht="13.8">
      <c r="A915" s="229"/>
      <c r="B915" s="309"/>
      <c r="C915" s="213"/>
      <c r="D915" s="229"/>
    </row>
    <row r="916" spans="1:4" ht="13.8">
      <c r="A916" s="229"/>
      <c r="B916" s="309"/>
      <c r="C916" s="213"/>
      <c r="D916" s="229"/>
    </row>
    <row r="917" spans="1:4" ht="13.8">
      <c r="A917" s="229"/>
      <c r="B917" s="309"/>
      <c r="C917" s="213"/>
      <c r="D917" s="229"/>
    </row>
    <row r="918" spans="1:4" ht="13.8">
      <c r="A918" s="229"/>
      <c r="B918" s="309"/>
      <c r="C918" s="213"/>
      <c r="D918" s="229"/>
    </row>
    <row r="919" spans="1:4" ht="13.8">
      <c r="A919" s="229"/>
      <c r="B919" s="309"/>
      <c r="C919" s="213"/>
      <c r="D919" s="229"/>
    </row>
    <row r="920" spans="1:4" ht="13.8">
      <c r="A920" s="229"/>
      <c r="B920" s="309"/>
      <c r="C920" s="213"/>
      <c r="D920" s="229"/>
    </row>
    <row r="921" spans="1:4" ht="13.8">
      <c r="A921" s="229"/>
      <c r="B921" s="309"/>
      <c r="C921" s="213"/>
      <c r="D921" s="229"/>
    </row>
    <row r="922" spans="1:4" ht="13.8">
      <c r="A922" s="229"/>
      <c r="B922" s="309"/>
      <c r="C922" s="213"/>
      <c r="D922" s="229"/>
    </row>
    <row r="923" spans="1:4" ht="13.8">
      <c r="A923" s="229"/>
      <c r="B923" s="309"/>
      <c r="C923" s="213"/>
      <c r="D923" s="229"/>
    </row>
    <row r="924" spans="1:4" ht="13.8">
      <c r="A924" s="229"/>
      <c r="B924" s="309"/>
      <c r="C924" s="213"/>
      <c r="D924" s="229"/>
    </row>
    <row r="925" spans="1:4" ht="13.8">
      <c r="A925" s="229"/>
      <c r="B925" s="309"/>
      <c r="C925" s="213"/>
      <c r="D925" s="229"/>
    </row>
    <row r="926" spans="1:4" ht="13.8">
      <c r="A926" s="229"/>
      <c r="B926" s="309"/>
      <c r="C926" s="213"/>
      <c r="D926" s="229"/>
    </row>
    <row r="927" spans="1:4" ht="13.8">
      <c r="A927" s="229"/>
      <c r="B927" s="309"/>
      <c r="C927" s="213"/>
      <c r="D927" s="229"/>
    </row>
    <row r="928" spans="1:4" ht="13.8">
      <c r="A928" s="229"/>
      <c r="B928" s="309"/>
      <c r="C928" s="213"/>
      <c r="D928" s="229"/>
    </row>
    <row r="929" spans="1:4" ht="13.8">
      <c r="A929" s="229"/>
      <c r="B929" s="309"/>
      <c r="C929" s="213"/>
      <c r="D929" s="229"/>
    </row>
    <row r="930" spans="1:4" ht="13.8">
      <c r="A930" s="229"/>
      <c r="B930" s="309"/>
      <c r="C930" s="213"/>
      <c r="D930" s="229"/>
    </row>
    <row r="931" spans="1:4" ht="13.8">
      <c r="A931" s="229"/>
      <c r="B931" s="309"/>
      <c r="C931" s="213"/>
      <c r="D931" s="229"/>
    </row>
    <row r="932" spans="1:4" ht="13.8">
      <c r="A932" s="229"/>
      <c r="B932" s="309"/>
      <c r="C932" s="213"/>
      <c r="D932" s="229"/>
    </row>
    <row r="933" spans="1:4" ht="13.8">
      <c r="A933" s="229"/>
      <c r="B933" s="309"/>
      <c r="C933" s="213"/>
      <c r="D933" s="229"/>
    </row>
    <row r="934" spans="1:4" ht="13.8">
      <c r="A934" s="229"/>
      <c r="B934" s="309"/>
      <c r="C934" s="213"/>
      <c r="D934" s="229"/>
    </row>
    <row r="935" spans="1:4" ht="13.8">
      <c r="A935" s="229"/>
      <c r="B935" s="309"/>
      <c r="C935" s="213"/>
      <c r="D935" s="229"/>
    </row>
    <row r="936" spans="1:4" ht="13.8">
      <c r="A936" s="229"/>
      <c r="B936" s="309"/>
      <c r="C936" s="213"/>
      <c r="D936" s="229"/>
    </row>
    <row r="937" spans="1:4" ht="13.8">
      <c r="A937" s="229"/>
      <c r="B937" s="309"/>
      <c r="C937" s="213"/>
      <c r="D937" s="229"/>
    </row>
    <row r="938" spans="1:4" ht="13.8">
      <c r="A938" s="229"/>
      <c r="B938" s="309"/>
      <c r="C938" s="213"/>
      <c r="D938" s="229"/>
    </row>
    <row r="939" spans="1:4" ht="13.8">
      <c r="A939" s="229"/>
      <c r="B939" s="309"/>
      <c r="C939" s="213"/>
      <c r="D939" s="229"/>
    </row>
    <row r="940" spans="1:4" ht="13.8">
      <c r="A940" s="229"/>
      <c r="B940" s="309"/>
      <c r="C940" s="213"/>
      <c r="D940" s="229"/>
    </row>
    <row r="941" spans="1:4" ht="13.8">
      <c r="A941" s="229"/>
      <c r="B941" s="309"/>
      <c r="C941" s="213"/>
      <c r="D941" s="229"/>
    </row>
    <row r="942" spans="1:4" ht="13.8">
      <c r="A942" s="229"/>
      <c r="B942" s="309"/>
      <c r="C942" s="213"/>
      <c r="D942" s="229"/>
    </row>
    <row r="943" spans="1:4" ht="13.8">
      <c r="A943" s="229"/>
      <c r="B943" s="309"/>
      <c r="C943" s="213"/>
      <c r="D943" s="229"/>
    </row>
    <row r="944" spans="1:4" ht="13.8">
      <c r="A944" s="229"/>
      <c r="B944" s="309"/>
      <c r="C944" s="213"/>
      <c r="D944" s="229"/>
    </row>
    <row r="945" spans="1:4" ht="13.8">
      <c r="A945" s="229"/>
      <c r="B945" s="309"/>
      <c r="C945" s="213"/>
      <c r="D945" s="229"/>
    </row>
    <row r="946" spans="1:4" ht="13.8">
      <c r="A946" s="229"/>
      <c r="B946" s="309"/>
      <c r="C946" s="213"/>
      <c r="D946" s="229"/>
    </row>
    <row r="947" spans="1:4" ht="13.8">
      <c r="A947" s="229"/>
      <c r="B947" s="309"/>
      <c r="C947" s="213"/>
      <c r="D947" s="229"/>
    </row>
    <row r="948" spans="1:4" ht="13.8">
      <c r="A948" s="229"/>
      <c r="B948" s="309"/>
      <c r="C948" s="213"/>
      <c r="D948" s="229"/>
    </row>
    <row r="949" spans="1:4" ht="13.8">
      <c r="A949" s="229"/>
      <c r="B949" s="309"/>
      <c r="C949" s="213"/>
      <c r="D949" s="229"/>
    </row>
    <row r="950" spans="1:4" ht="13.8">
      <c r="A950" s="229"/>
      <c r="B950" s="309"/>
      <c r="C950" s="213"/>
      <c r="D950" s="229"/>
    </row>
    <row r="951" spans="1:4" ht="13.8">
      <c r="A951" s="229"/>
      <c r="B951" s="309"/>
      <c r="C951" s="213"/>
      <c r="D951" s="229"/>
    </row>
    <row r="952" spans="1:4" ht="13.8">
      <c r="A952" s="229"/>
      <c r="B952" s="309"/>
      <c r="C952" s="213"/>
      <c r="D952" s="229"/>
    </row>
    <row r="953" spans="1:4" ht="13.8">
      <c r="A953" s="229"/>
      <c r="B953" s="309"/>
      <c r="C953" s="213"/>
      <c r="D953" s="229"/>
    </row>
    <row r="954" spans="1:4" ht="13.8">
      <c r="A954" s="229"/>
      <c r="B954" s="309"/>
      <c r="C954" s="213"/>
      <c r="D954" s="229"/>
    </row>
    <row r="955" spans="1:4" ht="13.8">
      <c r="A955" s="229"/>
      <c r="B955" s="309"/>
      <c r="C955" s="213"/>
      <c r="D955" s="229"/>
    </row>
    <row r="956" spans="1:4" ht="13.8">
      <c r="A956" s="229"/>
      <c r="B956" s="309"/>
      <c r="C956" s="213"/>
      <c r="D956" s="229"/>
    </row>
    <row r="957" spans="1:4" ht="13.8">
      <c r="A957" s="229"/>
      <c r="B957" s="309"/>
      <c r="C957" s="213"/>
      <c r="D957" s="229"/>
    </row>
    <row r="958" spans="1:4" ht="13.8">
      <c r="A958" s="229"/>
      <c r="B958" s="309"/>
      <c r="C958" s="213"/>
      <c r="D958" s="229"/>
    </row>
    <row r="959" spans="1:4" ht="13.8">
      <c r="A959" s="229"/>
      <c r="B959" s="309"/>
      <c r="C959" s="213"/>
      <c r="D959" s="229"/>
    </row>
    <row r="960" spans="1:4" ht="13.8">
      <c r="A960" s="229"/>
      <c r="B960" s="309"/>
      <c r="C960" s="213"/>
      <c r="D960" s="229"/>
    </row>
    <row r="961" spans="1:4" ht="13.8">
      <c r="A961" s="229"/>
      <c r="B961" s="309"/>
      <c r="C961" s="213"/>
      <c r="D961" s="229"/>
    </row>
    <row r="962" spans="1:4" ht="13.8">
      <c r="A962" s="229"/>
      <c r="B962" s="309"/>
      <c r="C962" s="213"/>
      <c r="D962" s="229"/>
    </row>
    <row r="963" spans="1:4" ht="13.8">
      <c r="A963" s="229"/>
      <c r="B963" s="309"/>
      <c r="C963" s="213"/>
      <c r="D963" s="229"/>
    </row>
    <row r="964" spans="1:4" ht="13.8">
      <c r="A964" s="229"/>
      <c r="B964" s="309"/>
      <c r="C964" s="213"/>
      <c r="D964" s="229"/>
    </row>
    <row r="965" spans="1:4" ht="13.8">
      <c r="A965" s="229"/>
      <c r="B965" s="309"/>
      <c r="C965" s="213"/>
      <c r="D965" s="229"/>
    </row>
    <row r="966" spans="1:4" ht="13.8">
      <c r="A966" s="229"/>
      <c r="B966" s="309"/>
      <c r="C966" s="213"/>
      <c r="D966" s="229"/>
    </row>
    <row r="967" spans="1:4" ht="13.8">
      <c r="A967" s="229"/>
      <c r="B967" s="309"/>
      <c r="C967" s="213"/>
      <c r="D967" s="229"/>
    </row>
    <row r="968" spans="1:4" ht="13.8">
      <c r="A968" s="229"/>
      <c r="B968" s="309"/>
      <c r="C968" s="213"/>
      <c r="D968" s="229"/>
    </row>
    <row r="969" spans="1:4" ht="13.8">
      <c r="A969" s="229"/>
      <c r="B969" s="309"/>
      <c r="C969" s="213"/>
      <c r="D969" s="229"/>
    </row>
    <row r="970" spans="1:4" ht="13.8">
      <c r="A970" s="229"/>
      <c r="B970" s="309"/>
      <c r="C970" s="213"/>
      <c r="D970" s="229"/>
    </row>
    <row r="971" spans="1:4" ht="13.8">
      <c r="A971" s="229"/>
      <c r="B971" s="309"/>
      <c r="C971" s="213"/>
      <c r="D971" s="229"/>
    </row>
    <row r="972" spans="1:4" ht="13.8">
      <c r="A972" s="229"/>
      <c r="B972" s="309"/>
      <c r="C972" s="213"/>
      <c r="D972" s="229"/>
    </row>
    <row r="973" spans="1:4" ht="13.8">
      <c r="A973" s="229"/>
      <c r="B973" s="309"/>
      <c r="C973" s="213"/>
      <c r="D973" s="229"/>
    </row>
    <row r="974" spans="1:4" ht="13.8">
      <c r="A974" s="229"/>
      <c r="B974" s="309"/>
      <c r="C974" s="213"/>
      <c r="D974" s="229"/>
    </row>
    <row r="975" spans="1:4" ht="13.8">
      <c r="A975" s="229"/>
      <c r="B975" s="309"/>
      <c r="C975" s="213"/>
      <c r="D975" s="229"/>
    </row>
    <row r="976" spans="1:4" ht="13.8">
      <c r="A976" s="229"/>
      <c r="B976" s="309"/>
      <c r="C976" s="213"/>
      <c r="D976" s="229"/>
    </row>
    <row r="977" spans="1:4" ht="13.8">
      <c r="A977" s="229"/>
      <c r="B977" s="309"/>
      <c r="C977" s="213"/>
      <c r="D977" s="229"/>
    </row>
    <row r="978" spans="1:4" ht="13.8">
      <c r="A978" s="229"/>
      <c r="B978" s="309"/>
      <c r="C978" s="213"/>
      <c r="D978" s="229"/>
    </row>
    <row r="979" spans="1:4" ht="13.8">
      <c r="A979" s="229"/>
      <c r="B979" s="309"/>
      <c r="C979" s="213"/>
      <c r="D979" s="229"/>
    </row>
    <row r="980" spans="1:4" ht="13.8">
      <c r="A980" s="229"/>
      <c r="B980" s="309"/>
      <c r="C980" s="213"/>
      <c r="D980" s="229"/>
    </row>
    <row r="981" spans="1:4" ht="13.8">
      <c r="A981" s="229"/>
      <c r="B981" s="309"/>
      <c r="C981" s="213"/>
      <c r="D981" s="229"/>
    </row>
    <row r="982" spans="1:4" ht="13.8">
      <c r="A982" s="229"/>
      <c r="B982" s="309"/>
      <c r="C982" s="213"/>
      <c r="D982" s="229"/>
    </row>
    <row r="983" spans="1:4" ht="13.8">
      <c r="A983" s="229"/>
      <c r="B983" s="309"/>
      <c r="C983" s="213"/>
      <c r="D983" s="229"/>
    </row>
    <row r="984" spans="1:4" ht="13.8">
      <c r="A984" s="229"/>
      <c r="B984" s="309"/>
      <c r="C984" s="213"/>
      <c r="D984" s="229"/>
    </row>
    <row r="985" spans="1:4" ht="13.8">
      <c r="A985" s="229"/>
      <c r="B985" s="309"/>
      <c r="C985" s="213"/>
      <c r="D985" s="229"/>
    </row>
    <row r="986" spans="1:4" ht="13.8">
      <c r="A986" s="229"/>
      <c r="B986" s="309"/>
      <c r="C986" s="213"/>
      <c r="D986" s="229"/>
    </row>
    <row r="987" spans="1:4" ht="13.8">
      <c r="A987" s="229"/>
      <c r="B987" s="309"/>
      <c r="C987" s="213"/>
      <c r="D987" s="229"/>
    </row>
    <row r="988" spans="1:4" ht="13.8">
      <c r="A988" s="229"/>
      <c r="B988" s="309"/>
      <c r="C988" s="213"/>
      <c r="D988" s="229"/>
    </row>
    <row r="989" spans="1:4" ht="13.8">
      <c r="A989" s="229"/>
      <c r="B989" s="309"/>
      <c r="C989" s="213"/>
      <c r="D989" s="229"/>
    </row>
    <row r="990" spans="1:4" ht="13.8">
      <c r="A990" s="229"/>
      <c r="B990" s="309"/>
      <c r="C990" s="213"/>
      <c r="D990" s="229"/>
    </row>
    <row r="991" spans="1:4" ht="13.8">
      <c r="A991" s="229"/>
      <c r="B991" s="309"/>
      <c r="C991" s="213"/>
      <c r="D991" s="229"/>
    </row>
    <row r="992" spans="1:4" ht="13.8">
      <c r="A992" s="229"/>
      <c r="B992" s="309"/>
      <c r="C992" s="213"/>
      <c r="D992" s="229"/>
    </row>
    <row r="993" spans="1:4" ht="13.8">
      <c r="A993" s="229"/>
      <c r="B993" s="309"/>
      <c r="C993" s="213"/>
      <c r="D993" s="229"/>
    </row>
    <row r="994" spans="1:4" ht="13.8">
      <c r="A994" s="229"/>
      <c r="B994" s="309"/>
      <c r="C994" s="213"/>
      <c r="D994" s="229"/>
    </row>
    <row r="995" spans="1:4" ht="13.8">
      <c r="A995" s="229"/>
      <c r="B995" s="309"/>
      <c r="C995" s="213"/>
      <c r="D995" s="229"/>
    </row>
    <row r="996" spans="1:4" ht="13.8">
      <c r="A996" s="229"/>
      <c r="B996" s="309"/>
      <c r="C996" s="213"/>
      <c r="D996" s="229"/>
    </row>
    <row r="997" spans="1:4" ht="13.8">
      <c r="A997" s="229"/>
      <c r="B997" s="309"/>
      <c r="C997" s="213"/>
      <c r="D997" s="229"/>
    </row>
    <row r="998" spans="1:4" ht="13.8">
      <c r="A998" s="229"/>
      <c r="B998" s="309"/>
      <c r="C998" s="213"/>
      <c r="D998" s="229"/>
    </row>
    <row r="999" spans="1:4" ht="13.8">
      <c r="A999" s="229"/>
      <c r="B999" s="309"/>
      <c r="C999" s="213"/>
      <c r="D999" s="229"/>
    </row>
    <row r="1000" spans="1:4" ht="13.8">
      <c r="A1000" s="229"/>
      <c r="B1000" s="309"/>
      <c r="C1000" s="213"/>
      <c r="D1000" s="229"/>
    </row>
    <row r="1001" spans="1:4" ht="13.8">
      <c r="A1001" s="229"/>
      <c r="B1001" s="309"/>
      <c r="C1001" s="213"/>
      <c r="D1001" s="229"/>
    </row>
    <row r="1002" spans="1:4" ht="13.8">
      <c r="A1002" s="229"/>
      <c r="B1002" s="309"/>
      <c r="C1002" s="213"/>
      <c r="D1002" s="229"/>
    </row>
    <row r="1003" spans="1:4" ht="13.8">
      <c r="A1003" s="229"/>
      <c r="B1003" s="309"/>
      <c r="C1003" s="213"/>
      <c r="D1003" s="229"/>
    </row>
    <row r="1004" spans="1:4" ht="13.8">
      <c r="A1004" s="229"/>
      <c r="B1004" s="309"/>
      <c r="C1004" s="213"/>
      <c r="D1004" s="229"/>
    </row>
    <row r="1005" spans="1:4" ht="13.8">
      <c r="A1005" s="229"/>
      <c r="B1005" s="309"/>
      <c r="C1005" s="213"/>
      <c r="D1005" s="229"/>
    </row>
    <row r="1006" spans="1:4" ht="13.8">
      <c r="A1006" s="229"/>
      <c r="B1006" s="309"/>
      <c r="C1006" s="213"/>
      <c r="D1006" s="229"/>
    </row>
    <row r="1007" spans="1:4" ht="13.8">
      <c r="A1007" s="229"/>
      <c r="B1007" s="309"/>
      <c r="C1007" s="213"/>
      <c r="D1007" s="229"/>
    </row>
    <row r="1008" spans="1:4" ht="13.8">
      <c r="A1008" s="229"/>
      <c r="B1008" s="309"/>
      <c r="C1008" s="213"/>
      <c r="D1008" s="229"/>
    </row>
    <row r="1009" spans="1:4" ht="13.8">
      <c r="A1009" s="229"/>
      <c r="B1009" s="309"/>
      <c r="C1009" s="213"/>
      <c r="D1009" s="229"/>
    </row>
    <row r="1010" spans="1:4" ht="13.8">
      <c r="A1010" s="229"/>
      <c r="B1010" s="309"/>
      <c r="C1010" s="213"/>
      <c r="D1010" s="229"/>
    </row>
    <row r="1011" spans="1:4" ht="13.8">
      <c r="A1011" s="229"/>
      <c r="B1011" s="309"/>
      <c r="C1011" s="213"/>
      <c r="D1011" s="229"/>
    </row>
    <row r="1012" spans="1:4" ht="13.8">
      <c r="A1012" s="229"/>
      <c r="B1012" s="309"/>
      <c r="C1012" s="213"/>
      <c r="D1012" s="229"/>
    </row>
    <row r="1013" spans="1:4" ht="13.8">
      <c r="A1013" s="229"/>
      <c r="B1013" s="309"/>
      <c r="C1013" s="213"/>
      <c r="D1013" s="229"/>
    </row>
    <row r="1014" spans="1:4" ht="13.8">
      <c r="A1014" s="229"/>
      <c r="B1014" s="309"/>
      <c r="C1014" s="213"/>
      <c r="D1014" s="229"/>
    </row>
    <row r="1015" spans="1:4" ht="13.8">
      <c r="A1015" s="229"/>
      <c r="B1015" s="309"/>
      <c r="C1015" s="213"/>
      <c r="D1015" s="229"/>
    </row>
    <row r="1016" spans="1:4" ht="13.8">
      <c r="A1016" s="229"/>
      <c r="B1016" s="309"/>
      <c r="C1016" s="213"/>
      <c r="D1016" s="229"/>
    </row>
    <row r="1017" spans="1:4" ht="13.8">
      <c r="A1017" s="229"/>
      <c r="B1017" s="309"/>
      <c r="C1017" s="213"/>
      <c r="D1017" s="229"/>
    </row>
    <row r="1018" spans="1:4" ht="13.8">
      <c r="A1018" s="229"/>
      <c r="B1018" s="309"/>
      <c r="C1018" s="213"/>
      <c r="D1018" s="229"/>
    </row>
    <row r="1019" spans="1:4" ht="13.8">
      <c r="A1019" s="229"/>
      <c r="B1019" s="309"/>
      <c r="C1019" s="213"/>
      <c r="D1019" s="229"/>
    </row>
    <row r="1020" spans="1:4" ht="13.8">
      <c r="A1020" s="229"/>
      <c r="B1020" s="309"/>
      <c r="C1020" s="213"/>
      <c r="D1020" s="229"/>
    </row>
    <row r="1021" spans="1:4" ht="13.8">
      <c r="A1021" s="229"/>
      <c r="B1021" s="309"/>
      <c r="C1021" s="213"/>
      <c r="D1021" s="229"/>
    </row>
    <row r="1022" spans="1:4" ht="13.8">
      <c r="A1022" s="229"/>
      <c r="B1022" s="309"/>
      <c r="C1022" s="213"/>
      <c r="D1022" s="229"/>
    </row>
    <row r="1023" spans="1:4" ht="13.8">
      <c r="A1023" s="229"/>
      <c r="B1023" s="309"/>
      <c r="C1023" s="213"/>
      <c r="D1023" s="229"/>
    </row>
    <row r="1024" spans="1:4" ht="13.8">
      <c r="A1024" s="229"/>
      <c r="B1024" s="309"/>
      <c r="C1024" s="213"/>
      <c r="D1024" s="229"/>
    </row>
    <row r="1025" spans="1:4" ht="13.8">
      <c r="A1025" s="229"/>
      <c r="B1025" s="309"/>
      <c r="C1025" s="213"/>
      <c r="D1025" s="229"/>
    </row>
    <row r="1026" spans="1:4" ht="13.8">
      <c r="A1026" s="229"/>
      <c r="B1026" s="309"/>
      <c r="C1026" s="213"/>
      <c r="D1026" s="229"/>
    </row>
    <row r="1027" spans="1:4" ht="13.8">
      <c r="A1027" s="229"/>
      <c r="B1027" s="309"/>
      <c r="C1027" s="213"/>
      <c r="D1027" s="229"/>
    </row>
    <row r="1028" spans="1:4" ht="13.8">
      <c r="A1028" s="229"/>
      <c r="B1028" s="309"/>
      <c r="C1028" s="213"/>
      <c r="D1028" s="229"/>
    </row>
    <row r="1029" spans="1:4" ht="13.8">
      <c r="A1029" s="229"/>
      <c r="B1029" s="309"/>
      <c r="C1029" s="213"/>
      <c r="D1029" s="229"/>
    </row>
    <row r="1030" spans="1:4" ht="13.8">
      <c r="A1030" s="229"/>
      <c r="B1030" s="309"/>
      <c r="C1030" s="213"/>
      <c r="D1030" s="229"/>
    </row>
    <row r="1031" spans="1:4" ht="13.8">
      <c r="A1031" s="229"/>
      <c r="B1031" s="309"/>
      <c r="C1031" s="213"/>
      <c r="D1031" s="229"/>
    </row>
    <row r="1032" spans="1:4" ht="13.8">
      <c r="A1032" s="229"/>
      <c r="B1032" s="309"/>
      <c r="C1032" s="213"/>
      <c r="D1032" s="229"/>
    </row>
    <row r="1033" spans="1:4" ht="13.8">
      <c r="A1033" s="229"/>
      <c r="B1033" s="309"/>
      <c r="C1033" s="213"/>
      <c r="D1033" s="229"/>
    </row>
    <row r="1034" spans="1:4" ht="13.8">
      <c r="A1034" s="229"/>
      <c r="B1034" s="309"/>
      <c r="C1034" s="213"/>
      <c r="D1034" s="229"/>
    </row>
    <row r="1035" spans="1:4" ht="13.8">
      <c r="A1035" s="229"/>
      <c r="B1035" s="309"/>
      <c r="C1035" s="213"/>
      <c r="D1035" s="229"/>
    </row>
    <row r="1036" spans="1:4" ht="13.8">
      <c r="A1036" s="229"/>
      <c r="B1036" s="309"/>
      <c r="C1036" s="213"/>
      <c r="D1036" s="229"/>
    </row>
    <row r="1037" spans="1:4" ht="13.8">
      <c r="A1037" s="229"/>
      <c r="B1037" s="309"/>
      <c r="C1037" s="213"/>
      <c r="D1037" s="229"/>
    </row>
    <row r="1038" spans="1:4" ht="13.8">
      <c r="A1038" s="229"/>
      <c r="B1038" s="309"/>
      <c r="C1038" s="213"/>
      <c r="D1038" s="229"/>
    </row>
    <row r="1039" spans="1:4" ht="13.8">
      <c r="A1039" s="229"/>
      <c r="B1039" s="309"/>
      <c r="C1039" s="213"/>
      <c r="D1039" s="229"/>
    </row>
    <row r="1040" spans="1:4" ht="13.8">
      <c r="A1040" s="229"/>
      <c r="B1040" s="309"/>
      <c r="C1040" s="213"/>
      <c r="D1040" s="229"/>
    </row>
    <row r="1041" spans="1:4" ht="13.8">
      <c r="A1041" s="229"/>
      <c r="B1041" s="309"/>
      <c r="C1041" s="213"/>
      <c r="D1041" s="229"/>
    </row>
    <row r="1042" spans="1:4" ht="13.8">
      <c r="A1042" s="229"/>
      <c r="B1042" s="309"/>
      <c r="C1042" s="213"/>
      <c r="D1042" s="229"/>
    </row>
    <row r="1043" spans="1:4" ht="13.8">
      <c r="A1043" s="229"/>
      <c r="B1043" s="309"/>
      <c r="C1043" s="213"/>
      <c r="D1043" s="229"/>
    </row>
    <row r="1044" spans="1:4" ht="13.8">
      <c r="A1044" s="229"/>
      <c r="B1044" s="309"/>
      <c r="C1044" s="213"/>
      <c r="D1044" s="229"/>
    </row>
    <row r="1045" spans="1:4" ht="13.8">
      <c r="A1045" s="229"/>
      <c r="B1045" s="309"/>
      <c r="C1045" s="213"/>
      <c r="D1045" s="229"/>
    </row>
    <row r="1046" spans="1:4" ht="13.8">
      <c r="A1046" s="229"/>
      <c r="B1046" s="309"/>
      <c r="C1046" s="213"/>
      <c r="D1046" s="229"/>
    </row>
    <row r="1047" spans="1:4" ht="13.8">
      <c r="A1047" s="229"/>
      <c r="B1047" s="309"/>
      <c r="C1047" s="213"/>
      <c r="D1047" s="229"/>
    </row>
    <row r="1048" spans="1:4" ht="13.8">
      <c r="A1048" s="229"/>
      <c r="B1048" s="309"/>
      <c r="C1048" s="213"/>
      <c r="D1048" s="229"/>
    </row>
    <row r="1049" spans="1:4" ht="13.8">
      <c r="A1049" s="229"/>
      <c r="B1049" s="309"/>
      <c r="C1049" s="213"/>
      <c r="D1049" s="229"/>
    </row>
    <row r="1050" spans="1:4" ht="13.8">
      <c r="A1050" s="229"/>
      <c r="B1050" s="309"/>
      <c r="C1050" s="213"/>
      <c r="D1050" s="229"/>
    </row>
    <row r="1051" spans="1:4" ht="13.8">
      <c r="A1051" s="229"/>
      <c r="B1051" s="309"/>
      <c r="C1051" s="213"/>
      <c r="D1051" s="229"/>
    </row>
    <row r="1052" spans="1:4" ht="13.8">
      <c r="A1052" s="229"/>
      <c r="B1052" s="309"/>
      <c r="C1052" s="213"/>
      <c r="D1052" s="229"/>
    </row>
    <row r="1053" spans="1:4" ht="13.8">
      <c r="A1053" s="229"/>
      <c r="B1053" s="309"/>
      <c r="C1053" s="213"/>
      <c r="D1053" s="229"/>
    </row>
    <row r="1054" spans="1:4" ht="13.8">
      <c r="A1054" s="229"/>
      <c r="B1054" s="309"/>
      <c r="C1054" s="213"/>
      <c r="D1054" s="229"/>
    </row>
    <row r="1055" spans="1:4" ht="13.8">
      <c r="A1055" s="229"/>
      <c r="B1055" s="309"/>
      <c r="C1055" s="213"/>
      <c r="D1055" s="229"/>
    </row>
    <row r="1056" spans="1:4" ht="13.8">
      <c r="A1056" s="229"/>
      <c r="B1056" s="309"/>
      <c r="C1056" s="213"/>
      <c r="D1056" s="229"/>
    </row>
    <row r="1057" spans="1:4" ht="13.8">
      <c r="A1057" s="229"/>
      <c r="B1057" s="309"/>
      <c r="C1057" s="213"/>
      <c r="D1057" s="229"/>
    </row>
    <row r="1058" spans="1:4" ht="13.8">
      <c r="A1058" s="229"/>
      <c r="B1058" s="309"/>
      <c r="C1058" s="213"/>
      <c r="D1058" s="229"/>
    </row>
    <row r="1059" spans="1:4" ht="13.8">
      <c r="A1059" s="229"/>
      <c r="B1059" s="309"/>
      <c r="C1059" s="213"/>
      <c r="D1059" s="229"/>
    </row>
    <row r="1060" spans="1:4" ht="13.8">
      <c r="A1060" s="229"/>
      <c r="B1060" s="309"/>
      <c r="C1060" s="213"/>
      <c r="D1060" s="229"/>
    </row>
    <row r="1061" spans="1:4" ht="13.8">
      <c r="A1061" s="229"/>
      <c r="B1061" s="309"/>
      <c r="C1061" s="213"/>
      <c r="D1061" s="229"/>
    </row>
    <row r="1062" spans="1:4" ht="13.8">
      <c r="A1062" s="229"/>
      <c r="B1062" s="309"/>
      <c r="C1062" s="213"/>
      <c r="D1062" s="229"/>
    </row>
    <row r="1063" spans="1:4" ht="13.8">
      <c r="A1063" s="229"/>
      <c r="B1063" s="309"/>
      <c r="C1063" s="213"/>
      <c r="D1063" s="229"/>
    </row>
    <row r="1064" spans="1:4" ht="13.8">
      <c r="A1064" s="229"/>
      <c r="B1064" s="309"/>
      <c r="C1064" s="213"/>
      <c r="D1064" s="229"/>
    </row>
    <row r="1065" spans="1:4" ht="13.8">
      <c r="A1065" s="229"/>
      <c r="B1065" s="309"/>
      <c r="C1065" s="213"/>
      <c r="D1065" s="229"/>
    </row>
    <row r="1066" spans="1:4" ht="13.8">
      <c r="A1066" s="229"/>
      <c r="B1066" s="309"/>
      <c r="C1066" s="213"/>
      <c r="D1066" s="229"/>
    </row>
    <row r="1067" spans="1:4" ht="13.8">
      <c r="A1067" s="229"/>
      <c r="B1067" s="309"/>
      <c r="C1067" s="213"/>
      <c r="D1067" s="229"/>
    </row>
    <row r="1068" spans="1:4" ht="13.8">
      <c r="A1068" s="229"/>
      <c r="B1068" s="309"/>
      <c r="C1068" s="213"/>
      <c r="D1068" s="229"/>
    </row>
    <row r="1069" spans="1:4" ht="13.8">
      <c r="A1069" s="229"/>
      <c r="B1069" s="309"/>
      <c r="C1069" s="213"/>
      <c r="D1069" s="229"/>
    </row>
    <row r="1070" spans="1:4" ht="13.8">
      <c r="A1070" s="229"/>
      <c r="B1070" s="309"/>
      <c r="C1070" s="213"/>
      <c r="D1070" s="229"/>
    </row>
    <row r="1071" spans="1:4" ht="13.8">
      <c r="A1071" s="229"/>
      <c r="B1071" s="309"/>
      <c r="C1071" s="213"/>
      <c r="D1071" s="229"/>
    </row>
    <row r="1072" spans="1:4" ht="13.8">
      <c r="A1072" s="229"/>
      <c r="B1072" s="309"/>
      <c r="C1072" s="213"/>
      <c r="D1072" s="229"/>
    </row>
    <row r="1073" spans="1:4" ht="13.8">
      <c r="A1073" s="229"/>
      <c r="B1073" s="309"/>
      <c r="C1073" s="213"/>
      <c r="D1073" s="229"/>
    </row>
    <row r="1074" spans="1:4" ht="13.8">
      <c r="A1074" s="229"/>
      <c r="B1074" s="309"/>
      <c r="C1074" s="213"/>
      <c r="D1074" s="229"/>
    </row>
    <row r="1075" spans="1:4" ht="13.8">
      <c r="A1075" s="229"/>
      <c r="B1075" s="309"/>
      <c r="C1075" s="213"/>
      <c r="D1075" s="229"/>
    </row>
    <row r="1076" spans="1:4" ht="13.8">
      <c r="A1076" s="229"/>
      <c r="B1076" s="309"/>
      <c r="C1076" s="213"/>
      <c r="D1076" s="229"/>
    </row>
    <row r="1077" spans="1:4" ht="13.8">
      <c r="A1077" s="229"/>
      <c r="B1077" s="309"/>
      <c r="C1077" s="213"/>
      <c r="D1077" s="229"/>
    </row>
    <row r="1078" spans="1:4" ht="13.8">
      <c r="A1078" s="229"/>
      <c r="B1078" s="309"/>
      <c r="C1078" s="213"/>
      <c r="D1078" s="229"/>
    </row>
    <row r="1079" spans="1:4" ht="13.8">
      <c r="A1079" s="229"/>
      <c r="B1079" s="309"/>
      <c r="C1079" s="229"/>
      <c r="D1079" s="229"/>
    </row>
    <row r="1080" spans="1:4" ht="13.8">
      <c r="A1080" s="229"/>
      <c r="B1080" s="309"/>
      <c r="C1080" s="229"/>
      <c r="D1080" s="229"/>
    </row>
    <row r="1081" spans="1:4" ht="13.8">
      <c r="A1081" s="229"/>
      <c r="B1081" s="309"/>
      <c r="C1081" s="229"/>
      <c r="D1081" s="229"/>
    </row>
    <row r="1082" spans="1:4" ht="13.8">
      <c r="A1082" s="229"/>
      <c r="B1082" s="309"/>
      <c r="C1082" s="229"/>
      <c r="D1082" s="229"/>
    </row>
    <row r="1083" spans="1:4" ht="13.8">
      <c r="A1083" s="229"/>
      <c r="B1083" s="309"/>
      <c r="C1083" s="229"/>
      <c r="D1083" s="229"/>
    </row>
    <row r="1084" spans="1:4" ht="13.8">
      <c r="A1084" s="229"/>
      <c r="B1084" s="309"/>
      <c r="C1084" s="229"/>
      <c r="D1084" s="229"/>
    </row>
    <row r="1085" spans="1:4" ht="13.8">
      <c r="A1085" s="229"/>
      <c r="B1085" s="309"/>
      <c r="C1085" s="229"/>
      <c r="D1085" s="229"/>
    </row>
    <row r="1086" spans="1:4" ht="13.8">
      <c r="A1086" s="229"/>
      <c r="B1086" s="309"/>
      <c r="C1086" s="229"/>
      <c r="D1086" s="229"/>
    </row>
    <row r="1087" spans="1:4" ht="13.8">
      <c r="A1087" s="229"/>
      <c r="B1087" s="309"/>
      <c r="C1087" s="229"/>
      <c r="D1087" s="229"/>
    </row>
    <row r="1088" spans="1:4" ht="13.8">
      <c r="A1088" s="229"/>
      <c r="B1088" s="309"/>
      <c r="C1088" s="229"/>
      <c r="D1088" s="229"/>
    </row>
    <row r="1089" spans="1:4" ht="13.8">
      <c r="A1089" s="229"/>
      <c r="B1089" s="309"/>
      <c r="C1089" s="229"/>
      <c r="D1089" s="229"/>
    </row>
    <row r="1090" spans="1:4" ht="13.8">
      <c r="A1090" s="229"/>
      <c r="B1090" s="309"/>
      <c r="C1090" s="229"/>
      <c r="D1090" s="229"/>
    </row>
    <row r="1091" spans="1:4" ht="13.8">
      <c r="A1091" s="229"/>
      <c r="B1091" s="309"/>
      <c r="C1091" s="229"/>
      <c r="D1091" s="229"/>
    </row>
    <row r="1092" spans="1:4" ht="13.8">
      <c r="A1092" s="229"/>
      <c r="B1092" s="309"/>
      <c r="C1092" s="229"/>
      <c r="D1092" s="229"/>
    </row>
    <row r="1093" spans="1:4" ht="13.8">
      <c r="A1093" s="229"/>
      <c r="B1093" s="309"/>
      <c r="C1093" s="229"/>
      <c r="D1093" s="229"/>
    </row>
    <row r="1094" spans="1:4" ht="13.8">
      <c r="A1094" s="229"/>
      <c r="B1094" s="309"/>
      <c r="C1094" s="229"/>
      <c r="D1094" s="229"/>
    </row>
    <row r="1095" spans="1:4" ht="13.8">
      <c r="A1095" s="229"/>
      <c r="B1095" s="309"/>
      <c r="C1095" s="229"/>
      <c r="D1095" s="229"/>
    </row>
    <row r="1096" spans="1:4" ht="13.8">
      <c r="A1096" s="229"/>
      <c r="B1096" s="309"/>
      <c r="C1096" s="229"/>
      <c r="D1096" s="229"/>
    </row>
    <row r="1097" spans="1:4" ht="13.8">
      <c r="A1097" s="229"/>
      <c r="B1097" s="309"/>
      <c r="C1097" s="229"/>
      <c r="D1097" s="229"/>
    </row>
    <row r="1098" spans="1:4" ht="13.8">
      <c r="A1098" s="229"/>
      <c r="B1098" s="309"/>
      <c r="C1098" s="229"/>
      <c r="D1098" s="229"/>
    </row>
    <row r="1099" spans="1:4" ht="13.8">
      <c r="A1099" s="229"/>
      <c r="B1099" s="309"/>
      <c r="C1099" s="229"/>
      <c r="D1099" s="229"/>
    </row>
    <row r="1100" spans="1:4" ht="13.8">
      <c r="A1100" s="229"/>
      <c r="B1100" s="309"/>
      <c r="C1100" s="229"/>
      <c r="D1100" s="229"/>
    </row>
    <row r="1101" spans="1:4" ht="13.8">
      <c r="A1101" s="229"/>
      <c r="B1101" s="309"/>
      <c r="C1101" s="229"/>
      <c r="D1101" s="229"/>
    </row>
    <row r="1102" spans="1:4" ht="13.8">
      <c r="A1102" s="229"/>
      <c r="B1102" s="309"/>
      <c r="C1102" s="229"/>
      <c r="D1102" s="229"/>
    </row>
    <row r="1103" spans="1:4" ht="13.8">
      <c r="A1103" s="229"/>
      <c r="B1103" s="309"/>
      <c r="C1103" s="229"/>
      <c r="D1103" s="229"/>
    </row>
    <row r="1104" spans="1:4" ht="13.8">
      <c r="A1104" s="229"/>
      <c r="B1104" s="309"/>
      <c r="C1104" s="229"/>
      <c r="D1104" s="229"/>
    </row>
    <row r="1105" spans="1:4" ht="13.8">
      <c r="A1105" s="229"/>
      <c r="B1105" s="309"/>
      <c r="C1105" s="229"/>
      <c r="D1105" s="229"/>
    </row>
    <row r="1106" spans="1:4" ht="13.8">
      <c r="A1106" s="229"/>
      <c r="B1106" s="309"/>
      <c r="C1106" s="229"/>
      <c r="D1106" s="229"/>
    </row>
    <row r="1107" spans="1:4" ht="13.8">
      <c r="A1107" s="229"/>
      <c r="B1107" s="309"/>
      <c r="C1107" s="229"/>
      <c r="D1107" s="229"/>
    </row>
    <row r="1108" spans="1:4" ht="13.8">
      <c r="A1108" s="229"/>
      <c r="B1108" s="309"/>
      <c r="C1108" s="229"/>
      <c r="D1108" s="229"/>
    </row>
    <row r="1109" spans="1:4" ht="13.8">
      <c r="A1109" s="229"/>
      <c r="B1109" s="309"/>
      <c r="C1109" s="229"/>
      <c r="D1109" s="229"/>
    </row>
    <row r="1110" spans="1:4" ht="13.8">
      <c r="A1110" s="229"/>
      <c r="B1110" s="309"/>
      <c r="C1110" s="229"/>
      <c r="D1110" s="229"/>
    </row>
    <row r="1111" spans="1:4" ht="13.8">
      <c r="A1111" s="229"/>
      <c r="B1111" s="309"/>
      <c r="C1111" s="229"/>
      <c r="D1111" s="229"/>
    </row>
    <row r="1112" spans="1:4" ht="13.8">
      <c r="A1112" s="229"/>
      <c r="B1112" s="309"/>
      <c r="C1112" s="229"/>
      <c r="D1112" s="229"/>
    </row>
    <row r="1113" spans="1:4" ht="13.8">
      <c r="A1113" s="229"/>
      <c r="B1113" s="309"/>
      <c r="C1113" s="229"/>
      <c r="D1113" s="229"/>
    </row>
    <row r="1114" spans="1:4" ht="13.8">
      <c r="A1114" s="229"/>
      <c r="B1114" s="309"/>
      <c r="C1114" s="229"/>
      <c r="D1114" s="229"/>
    </row>
    <row r="1115" spans="1:4" ht="13.8">
      <c r="A1115" s="229"/>
      <c r="B1115" s="309"/>
      <c r="C1115" s="229"/>
      <c r="D1115" s="229"/>
    </row>
    <row r="1116" spans="1:4" ht="13.8">
      <c r="A1116" s="229"/>
      <c r="B1116" s="309"/>
      <c r="C1116" s="229"/>
      <c r="D1116" s="229"/>
    </row>
    <row r="1117" spans="1:4" ht="13.8">
      <c r="A1117" s="229"/>
      <c r="B1117" s="309"/>
      <c r="C1117" s="229"/>
      <c r="D1117" s="229"/>
    </row>
    <row r="1118" spans="1:4" ht="13.8">
      <c r="A1118" s="229"/>
      <c r="B1118" s="309"/>
      <c r="C1118" s="229"/>
      <c r="D1118" s="229"/>
    </row>
    <row r="1119" spans="1:4" ht="13.8">
      <c r="A1119" s="229"/>
      <c r="B1119" s="309"/>
      <c r="C1119" s="229"/>
      <c r="D1119" s="229"/>
    </row>
    <row r="1120" spans="1:4" ht="13.8">
      <c r="A1120" s="229"/>
      <c r="B1120" s="309"/>
      <c r="C1120" s="229"/>
      <c r="D1120" s="229"/>
    </row>
    <row r="1121" spans="1:4" ht="13.8">
      <c r="A1121" s="229"/>
      <c r="B1121" s="309"/>
      <c r="C1121" s="229"/>
      <c r="D1121" s="229"/>
    </row>
    <row r="1122" spans="1:4" ht="13.8">
      <c r="A1122" s="229"/>
      <c r="B1122" s="309"/>
      <c r="C1122" s="229"/>
      <c r="D1122" s="229"/>
    </row>
    <row r="1123" spans="1:4" ht="13.8">
      <c r="A1123" s="229"/>
      <c r="B1123" s="309"/>
      <c r="C1123" s="229"/>
      <c r="D1123" s="229"/>
    </row>
    <row r="1124" spans="1:4" ht="13.8">
      <c r="A1124" s="229"/>
      <c r="B1124" s="309"/>
      <c r="C1124" s="229"/>
      <c r="D1124" s="229"/>
    </row>
    <row r="1125" spans="1:4" ht="13.8">
      <c r="A1125" s="229"/>
      <c r="B1125" s="309"/>
      <c r="C1125" s="229"/>
      <c r="D1125" s="229"/>
    </row>
    <row r="1126" spans="1:4" ht="13.8">
      <c r="A1126" s="229"/>
      <c r="B1126" s="309"/>
      <c r="C1126" s="229"/>
      <c r="D1126" s="229"/>
    </row>
    <row r="1127" spans="1:4" ht="13.8">
      <c r="A1127" s="229"/>
      <c r="B1127" s="309"/>
      <c r="C1127" s="229"/>
      <c r="D1127" s="229"/>
    </row>
    <row r="1128" spans="1:4" ht="13.8">
      <c r="A1128" s="229"/>
      <c r="B1128" s="309"/>
      <c r="C1128" s="229"/>
      <c r="D1128" s="229"/>
    </row>
    <row r="1129" spans="1:4" ht="13.8">
      <c r="A1129" s="229"/>
      <c r="B1129" s="309"/>
      <c r="C1129" s="229"/>
      <c r="D1129" s="229"/>
    </row>
    <row r="1130" spans="1:4" ht="13.8">
      <c r="A1130" s="229"/>
      <c r="B1130" s="309"/>
      <c r="C1130" s="229"/>
      <c r="D1130" s="229"/>
    </row>
    <row r="1131" spans="1:4" ht="13.8">
      <c r="A1131" s="229"/>
      <c r="B1131" s="309"/>
      <c r="C1131" s="229"/>
      <c r="D1131" s="229"/>
    </row>
    <row r="1132" spans="1:4" ht="13.8">
      <c r="A1132" s="229"/>
      <c r="B1132" s="309"/>
      <c r="C1132" s="229"/>
      <c r="D1132" s="229"/>
    </row>
    <row r="1133" spans="1:4" ht="13.8">
      <c r="A1133" s="229"/>
      <c r="B1133" s="309"/>
      <c r="C1133" s="229"/>
      <c r="D1133" s="229"/>
    </row>
    <row r="1134" spans="1:4" ht="13.8">
      <c r="A1134" s="229"/>
      <c r="B1134" s="309"/>
      <c r="C1134" s="229"/>
      <c r="D1134" s="229"/>
    </row>
    <row r="1135" spans="1:4" ht="13.8">
      <c r="A1135" s="229"/>
      <c r="B1135" s="309"/>
      <c r="C1135" s="229"/>
      <c r="D1135" s="229"/>
    </row>
    <row r="1136" spans="1:4" ht="13.8">
      <c r="A1136" s="229"/>
      <c r="B1136" s="309"/>
      <c r="C1136" s="229"/>
      <c r="D1136" s="229"/>
    </row>
    <row r="1137" spans="1:4" ht="13.8">
      <c r="A1137" s="229"/>
      <c r="B1137" s="309"/>
      <c r="C1137" s="229"/>
      <c r="D1137" s="229"/>
    </row>
    <row r="1138" spans="1:4" ht="13.8">
      <c r="A1138" s="229"/>
      <c r="B1138" s="309"/>
      <c r="C1138" s="229"/>
      <c r="D1138" s="229"/>
    </row>
    <row r="1139" spans="1:4" ht="13.8">
      <c r="A1139" s="229"/>
      <c r="B1139" s="309"/>
      <c r="C1139" s="229"/>
      <c r="D1139" s="229"/>
    </row>
    <row r="1140" spans="1:4" ht="13.8">
      <c r="A1140" s="229"/>
      <c r="B1140" s="309"/>
      <c r="C1140" s="229"/>
      <c r="D1140" s="229"/>
    </row>
    <row r="1141" spans="1:4" ht="13.8">
      <c r="A1141" s="229"/>
      <c r="B1141" s="309"/>
      <c r="C1141" s="229"/>
      <c r="D1141" s="229"/>
    </row>
    <row r="1142" spans="1:4" ht="13.8">
      <c r="A1142" s="229"/>
      <c r="B1142" s="309"/>
      <c r="C1142" s="229"/>
      <c r="D1142" s="229"/>
    </row>
    <row r="1143" spans="1:4" ht="13.8">
      <c r="A1143" s="229"/>
      <c r="B1143" s="309"/>
      <c r="C1143" s="229"/>
      <c r="D1143" s="229"/>
    </row>
    <row r="1144" spans="1:4" ht="13.8">
      <c r="A1144" s="229"/>
      <c r="B1144" s="309"/>
      <c r="C1144" s="229"/>
      <c r="D1144" s="229"/>
    </row>
    <row r="1145" spans="1:4" ht="13.8">
      <c r="A1145" s="229"/>
      <c r="B1145" s="309"/>
      <c r="C1145" s="229"/>
      <c r="D1145" s="229"/>
    </row>
    <row r="1146" spans="1:4" ht="13.8">
      <c r="A1146" s="229"/>
      <c r="B1146" s="309"/>
      <c r="C1146" s="229"/>
      <c r="D1146" s="229"/>
    </row>
    <row r="1147" spans="1:4" ht="13.8">
      <c r="A1147" s="229"/>
      <c r="B1147" s="309"/>
      <c r="C1147" s="229"/>
      <c r="D1147" s="229"/>
    </row>
    <row r="1148" spans="1:4" ht="13.8">
      <c r="A1148" s="229"/>
      <c r="B1148" s="309"/>
      <c r="C1148" s="229"/>
      <c r="D1148" s="229"/>
    </row>
    <row r="1149" spans="1:4" ht="13.8">
      <c r="A1149" s="229"/>
      <c r="B1149" s="309"/>
      <c r="C1149" s="229"/>
      <c r="D1149" s="229"/>
    </row>
    <row r="1150" spans="1:4" ht="13.8">
      <c r="A1150" s="229"/>
      <c r="B1150" s="309"/>
      <c r="C1150" s="229"/>
      <c r="D1150" s="229"/>
    </row>
    <row r="1151" spans="1:4" ht="13.8">
      <c r="A1151" s="229"/>
      <c r="B1151" s="309"/>
      <c r="C1151" s="229"/>
      <c r="D1151" s="229"/>
    </row>
    <row r="1152" spans="1:4" ht="13.8">
      <c r="A1152" s="229"/>
      <c r="B1152" s="309"/>
      <c r="C1152" s="229"/>
      <c r="D1152" s="229"/>
    </row>
    <row r="1153" spans="1:4" ht="13.8">
      <c r="A1153" s="229"/>
      <c r="B1153" s="309"/>
      <c r="C1153" s="229"/>
      <c r="D1153" s="229"/>
    </row>
    <row r="1154" spans="1:4" ht="13.8">
      <c r="A1154" s="229"/>
      <c r="B1154" s="309"/>
      <c r="C1154" s="229"/>
      <c r="D1154" s="229"/>
    </row>
    <row r="1155" spans="1:4" ht="13.8">
      <c r="A1155" s="229"/>
      <c r="B1155" s="309"/>
      <c r="C1155" s="229"/>
      <c r="D1155" s="229"/>
    </row>
    <row r="1156" spans="1:4" ht="13.8">
      <c r="A1156" s="229"/>
      <c r="B1156" s="309"/>
      <c r="C1156" s="229"/>
      <c r="D1156" s="229"/>
    </row>
    <row r="1157" spans="1:4" ht="13.8">
      <c r="A1157" s="229"/>
      <c r="B1157" s="309"/>
      <c r="C1157" s="229"/>
      <c r="D1157" s="229"/>
    </row>
    <row r="1158" spans="1:4" ht="13.8">
      <c r="A1158" s="229"/>
      <c r="B1158" s="309"/>
      <c r="C1158" s="229"/>
      <c r="D1158" s="229"/>
    </row>
    <row r="1159" spans="1:4" ht="13.8">
      <c r="A1159" s="229"/>
      <c r="B1159" s="309"/>
      <c r="C1159" s="229"/>
      <c r="D1159" s="229"/>
    </row>
    <row r="1160" spans="1:4" ht="13.8">
      <c r="A1160" s="229"/>
      <c r="B1160" s="309"/>
      <c r="C1160" s="229"/>
      <c r="D1160" s="229"/>
    </row>
    <row r="1161" spans="1:4" ht="13.8">
      <c r="A1161" s="229"/>
      <c r="B1161" s="309"/>
      <c r="C1161" s="229"/>
      <c r="D1161" s="229"/>
    </row>
    <row r="1162" spans="1:4" ht="13.8">
      <c r="A1162" s="229"/>
      <c r="B1162" s="309"/>
      <c r="C1162" s="229"/>
      <c r="D1162" s="229"/>
    </row>
    <row r="1163" spans="1:4" ht="13.8">
      <c r="A1163" s="229"/>
      <c r="B1163" s="309"/>
      <c r="C1163" s="229"/>
      <c r="D1163" s="229"/>
    </row>
    <row r="1164" spans="1:4" ht="13.8">
      <c r="A1164" s="229"/>
      <c r="B1164" s="309"/>
      <c r="C1164" s="229"/>
      <c r="D1164" s="229"/>
    </row>
    <row r="1165" spans="1:4" ht="13.8">
      <c r="A1165" s="229"/>
      <c r="B1165" s="309"/>
      <c r="C1165" s="229"/>
      <c r="D1165" s="229"/>
    </row>
    <row r="1166" spans="1:4" ht="13.8">
      <c r="A1166" s="229"/>
      <c r="B1166" s="309"/>
      <c r="C1166" s="229"/>
      <c r="D1166" s="229"/>
    </row>
    <row r="1167" spans="1:4" ht="13.8">
      <c r="A1167" s="229"/>
      <c r="B1167" s="309"/>
      <c r="C1167" s="229"/>
      <c r="D1167" s="229"/>
    </row>
    <row r="1168" spans="1:4" ht="13.8">
      <c r="A1168" s="229"/>
      <c r="B1168" s="309"/>
      <c r="C1168" s="229"/>
      <c r="D1168" s="229"/>
    </row>
    <row r="1169" spans="1:4" ht="13.8">
      <c r="A1169" s="229"/>
      <c r="B1169" s="309"/>
      <c r="C1169" s="229"/>
      <c r="D1169" s="229"/>
    </row>
    <row r="1170" spans="1:4" ht="13.8">
      <c r="A1170" s="229"/>
      <c r="B1170" s="309"/>
      <c r="C1170" s="229"/>
      <c r="D1170" s="229"/>
    </row>
    <row r="1171" spans="1:4" ht="13.8">
      <c r="A1171" s="229"/>
      <c r="B1171" s="309"/>
      <c r="C1171" s="229"/>
      <c r="D1171" s="229"/>
    </row>
    <row r="1172" spans="1:4" ht="13.8">
      <c r="A1172" s="229"/>
      <c r="B1172" s="309"/>
      <c r="C1172" s="229"/>
      <c r="D1172" s="229"/>
    </row>
    <row r="1173" spans="1:4" ht="13.8">
      <c r="A1173" s="229"/>
      <c r="B1173" s="309"/>
      <c r="C1173" s="229"/>
      <c r="D1173" s="229"/>
    </row>
    <row r="1174" spans="1:4" ht="13.8">
      <c r="A1174" s="229"/>
      <c r="B1174" s="309"/>
      <c r="C1174" s="229"/>
      <c r="D1174" s="229"/>
    </row>
    <row r="1175" spans="1:4" ht="13.8">
      <c r="A1175" s="229"/>
      <c r="B1175" s="309"/>
      <c r="C1175" s="229"/>
      <c r="D1175" s="229"/>
    </row>
    <row r="1176" spans="1:4" ht="13.8">
      <c r="A1176" s="229"/>
      <c r="B1176" s="309"/>
      <c r="C1176" s="229"/>
      <c r="D1176" s="229"/>
    </row>
    <row r="1177" spans="1:4" ht="13.8">
      <c r="A1177" s="229"/>
      <c r="B1177" s="309"/>
      <c r="C1177" s="229"/>
      <c r="D1177" s="229"/>
    </row>
    <row r="1178" spans="1:4" ht="13.8">
      <c r="A1178" s="229"/>
      <c r="B1178" s="309"/>
      <c r="C1178" s="229"/>
      <c r="D1178" s="229"/>
    </row>
    <row r="1179" spans="1:4">
      <c r="B1179" s="310"/>
    </row>
    <row r="1180" spans="1:4">
      <c r="B1180" s="310"/>
    </row>
    <row r="1181" spans="1:4">
      <c r="B1181" s="310"/>
    </row>
    <row r="1182" spans="1:4">
      <c r="B1182" s="310"/>
    </row>
    <row r="1183" spans="1:4">
      <c r="B1183" s="310"/>
    </row>
    <row r="1184" spans="1:4">
      <c r="B1184" s="310"/>
    </row>
    <row r="1185" spans="2:2">
      <c r="B1185" s="310"/>
    </row>
    <row r="1186" spans="2:2">
      <c r="B1186" s="310"/>
    </row>
    <row r="1187" spans="2:2">
      <c r="B1187" s="310"/>
    </row>
    <row r="1188" spans="2:2">
      <c r="B1188" s="310"/>
    </row>
    <row r="1189" spans="2:2">
      <c r="B1189" s="310"/>
    </row>
    <row r="1190" spans="2:2">
      <c r="B1190" s="310"/>
    </row>
    <row r="1191" spans="2:2">
      <c r="B1191" s="310"/>
    </row>
    <row r="1192" spans="2:2">
      <c r="B1192" s="310"/>
    </row>
    <row r="1193" spans="2:2">
      <c r="B1193" s="310"/>
    </row>
    <row r="1194" spans="2:2">
      <c r="B1194" s="310"/>
    </row>
    <row r="1195" spans="2:2">
      <c r="B1195" s="310"/>
    </row>
    <row r="1196" spans="2:2">
      <c r="B1196" s="310"/>
    </row>
    <row r="1197" spans="2:2">
      <c r="B1197" s="310"/>
    </row>
    <row r="1198" spans="2:2">
      <c r="B1198" s="310"/>
    </row>
    <row r="1199" spans="2:2">
      <c r="B1199" s="310"/>
    </row>
    <row r="1200" spans="2:2">
      <c r="B1200" s="310"/>
    </row>
    <row r="1201" spans="2:2">
      <c r="B1201" s="310"/>
    </row>
    <row r="1202" spans="2:2">
      <c r="B1202" s="310"/>
    </row>
    <row r="1203" spans="2:2">
      <c r="B1203" s="310"/>
    </row>
    <row r="1204" spans="2:2">
      <c r="B1204" s="310"/>
    </row>
    <row r="1205" spans="2:2">
      <c r="B1205" s="310"/>
    </row>
    <row r="1206" spans="2:2">
      <c r="B1206" s="310"/>
    </row>
    <row r="1207" spans="2:2">
      <c r="B1207" s="310"/>
    </row>
    <row r="1208" spans="2:2">
      <c r="B1208" s="310"/>
    </row>
    <row r="1209" spans="2:2">
      <c r="B1209" s="310"/>
    </row>
    <row r="1210" spans="2:2">
      <c r="B1210" s="310"/>
    </row>
    <row r="1211" spans="2:2">
      <c r="B1211" s="310"/>
    </row>
    <row r="1212" spans="2:2">
      <c r="B1212" s="310"/>
    </row>
    <row r="1213" spans="2:2">
      <c r="B1213" s="310"/>
    </row>
    <row r="1214" spans="2:2">
      <c r="B1214" s="310"/>
    </row>
    <row r="1215" spans="2:2">
      <c r="B1215" s="310"/>
    </row>
    <row r="1216" spans="2:2">
      <c r="B1216" s="310"/>
    </row>
    <row r="1217" spans="2:2">
      <c r="B1217" s="310"/>
    </row>
    <row r="1218" spans="2:2">
      <c r="B1218" s="310"/>
    </row>
    <row r="1219" spans="2:2">
      <c r="B1219" s="310"/>
    </row>
    <row r="1220" spans="2:2">
      <c r="B1220" s="310"/>
    </row>
    <row r="1221" spans="2:2">
      <c r="B1221" s="310"/>
    </row>
    <row r="1222" spans="2:2">
      <c r="B1222" s="310"/>
    </row>
    <row r="1223" spans="2:2">
      <c r="B1223" s="310"/>
    </row>
    <row r="1224" spans="2:2">
      <c r="B1224" s="310"/>
    </row>
    <row r="1225" spans="2:2">
      <c r="B1225" s="310"/>
    </row>
    <row r="1226" spans="2:2">
      <c r="B1226" s="310"/>
    </row>
    <row r="1227" spans="2:2">
      <c r="B1227" s="310"/>
    </row>
    <row r="1228" spans="2:2">
      <c r="B1228" s="310"/>
    </row>
    <row r="1229" spans="2:2">
      <c r="B1229" s="310"/>
    </row>
    <row r="1230" spans="2:2">
      <c r="B1230" s="310"/>
    </row>
    <row r="1231" spans="2:2">
      <c r="B1231" s="310"/>
    </row>
    <row r="1232" spans="2:2">
      <c r="B1232" s="310"/>
    </row>
    <row r="1233" spans="2:2">
      <c r="B1233" s="310"/>
    </row>
    <row r="1234" spans="2:2">
      <c r="B1234" s="310"/>
    </row>
    <row r="1235" spans="2:2">
      <c r="B1235" s="310"/>
    </row>
    <row r="1236" spans="2:2">
      <c r="B1236" s="310"/>
    </row>
    <row r="1237" spans="2:2">
      <c r="B1237" s="310"/>
    </row>
    <row r="1238" spans="2:2">
      <c r="B1238" s="310"/>
    </row>
    <row r="1239" spans="2:2">
      <c r="B1239" s="310"/>
    </row>
    <row r="1240" spans="2:2">
      <c r="B1240" s="310"/>
    </row>
    <row r="1241" spans="2:2">
      <c r="B1241" s="310"/>
    </row>
    <row r="1242" spans="2:2">
      <c r="B1242" s="310"/>
    </row>
    <row r="1243" spans="2:2">
      <c r="B1243" s="310"/>
    </row>
    <row r="1244" spans="2:2">
      <c r="B1244" s="310"/>
    </row>
    <row r="1245" spans="2:2">
      <c r="B1245" s="310"/>
    </row>
    <row r="1246" spans="2:2">
      <c r="B1246" s="310"/>
    </row>
    <row r="1247" spans="2:2">
      <c r="B1247" s="310"/>
    </row>
    <row r="1248" spans="2:2">
      <c r="B1248" s="310"/>
    </row>
    <row r="1249" spans="2:2">
      <c r="B1249" s="310"/>
    </row>
    <row r="1250" spans="2:2">
      <c r="B1250" s="310"/>
    </row>
    <row r="1251" spans="2:2">
      <c r="B1251" s="310"/>
    </row>
    <row r="1252" spans="2:2">
      <c r="B1252" s="310"/>
    </row>
    <row r="1253" spans="2:2">
      <c r="B1253" s="310"/>
    </row>
    <row r="1254" spans="2:2">
      <c r="B1254" s="310"/>
    </row>
    <row r="1255" spans="2:2">
      <c r="B1255" s="310"/>
    </row>
    <row r="1256" spans="2:2">
      <c r="B1256" s="310"/>
    </row>
    <row r="1257" spans="2:2">
      <c r="B1257" s="310"/>
    </row>
    <row r="1258" spans="2:2">
      <c r="B1258" s="310"/>
    </row>
    <row r="1259" spans="2:2">
      <c r="B1259" s="310"/>
    </row>
    <row r="1260" spans="2:2">
      <c r="B1260" s="310"/>
    </row>
    <row r="1261" spans="2:2">
      <c r="B1261" s="310"/>
    </row>
    <row r="1262" spans="2:2">
      <c r="B1262" s="310"/>
    </row>
    <row r="1263" spans="2:2">
      <c r="B1263" s="310"/>
    </row>
    <row r="1264" spans="2:2">
      <c r="B1264" s="310"/>
    </row>
    <row r="1265" spans="2:2">
      <c r="B1265" s="310"/>
    </row>
    <row r="1266" spans="2:2">
      <c r="B1266" s="310"/>
    </row>
    <row r="1267" spans="2:2">
      <c r="B1267" s="310"/>
    </row>
    <row r="1268" spans="2:2">
      <c r="B1268" s="310"/>
    </row>
    <row r="1269" spans="2:2">
      <c r="B1269" s="310"/>
    </row>
    <row r="1270" spans="2:2">
      <c r="B1270" s="310"/>
    </row>
    <row r="1271" spans="2:2">
      <c r="B1271" s="310"/>
    </row>
    <row r="1272" spans="2:2">
      <c r="B1272" s="310"/>
    </row>
    <row r="1273" spans="2:2">
      <c r="B1273" s="310"/>
    </row>
    <row r="1274" spans="2:2">
      <c r="B1274" s="310"/>
    </row>
    <row r="1275" spans="2:2">
      <c r="B1275" s="310"/>
    </row>
    <row r="1276" spans="2:2">
      <c r="B1276" s="310"/>
    </row>
    <row r="1277" spans="2:2">
      <c r="B1277" s="310"/>
    </row>
    <row r="1278" spans="2:2">
      <c r="B1278" s="310"/>
    </row>
    <row r="1279" spans="2:2">
      <c r="B1279" s="310"/>
    </row>
    <row r="1280" spans="2:2">
      <c r="B1280" s="310"/>
    </row>
    <row r="1281" spans="2:2">
      <c r="B1281" s="310"/>
    </row>
    <row r="1282" spans="2:2">
      <c r="B1282" s="310"/>
    </row>
    <row r="1283" spans="2:2">
      <c r="B1283" s="310"/>
    </row>
    <row r="1284" spans="2:2">
      <c r="B1284" s="310"/>
    </row>
    <row r="1285" spans="2:2">
      <c r="B1285" s="310"/>
    </row>
    <row r="1286" spans="2:2">
      <c r="B1286" s="310"/>
    </row>
    <row r="1287" spans="2:2">
      <c r="B1287" s="310"/>
    </row>
    <row r="1288" spans="2:2">
      <c r="B1288" s="310"/>
    </row>
    <row r="1289" spans="2:2">
      <c r="B1289" s="310"/>
    </row>
    <row r="1290" spans="2:2">
      <c r="B1290" s="310"/>
    </row>
    <row r="1291" spans="2:2">
      <c r="B1291" s="310"/>
    </row>
    <row r="1292" spans="2:2">
      <c r="B1292" s="310"/>
    </row>
    <row r="1293" spans="2:2">
      <c r="B1293" s="310"/>
    </row>
    <row r="1294" spans="2:2">
      <c r="B1294" s="310"/>
    </row>
    <row r="1295" spans="2:2">
      <c r="B1295" s="310"/>
    </row>
    <row r="1296" spans="2:2">
      <c r="B1296" s="310"/>
    </row>
    <row r="1297" spans="2:2">
      <c r="B1297" s="310"/>
    </row>
    <row r="1298" spans="2:2">
      <c r="B1298" s="310"/>
    </row>
    <row r="1299" spans="2:2">
      <c r="B1299" s="310"/>
    </row>
    <row r="1300" spans="2:2">
      <c r="B1300" s="310"/>
    </row>
    <row r="1301" spans="2:2">
      <c r="B1301" s="310"/>
    </row>
    <row r="1302" spans="2:2">
      <c r="B1302" s="310"/>
    </row>
    <row r="1303" spans="2:2">
      <c r="B1303" s="310"/>
    </row>
    <row r="1304" spans="2:2">
      <c r="B1304" s="310"/>
    </row>
    <row r="1305" spans="2:2">
      <c r="B1305" s="310"/>
    </row>
    <row r="1306" spans="2:2">
      <c r="B1306" s="310"/>
    </row>
    <row r="1307" spans="2:2">
      <c r="B1307" s="310"/>
    </row>
    <row r="1308" spans="2:2">
      <c r="B1308" s="310"/>
    </row>
    <row r="1309" spans="2:2">
      <c r="B1309" s="310"/>
    </row>
    <row r="1310" spans="2:2">
      <c r="B1310" s="310"/>
    </row>
    <row r="1311" spans="2:2">
      <c r="B1311" s="310"/>
    </row>
    <row r="1312" spans="2:2">
      <c r="B1312" s="310"/>
    </row>
    <row r="1313" spans="2:2">
      <c r="B1313" s="310"/>
    </row>
    <row r="1314" spans="2:2">
      <c r="B1314" s="310"/>
    </row>
    <row r="1315" spans="2:2">
      <c r="B1315" s="310"/>
    </row>
    <row r="1316" spans="2:2">
      <c r="B1316" s="310"/>
    </row>
    <row r="1317" spans="2:2">
      <c r="B1317" s="310"/>
    </row>
    <row r="1318" spans="2:2">
      <c r="B1318" s="310"/>
    </row>
    <row r="1319" spans="2:2">
      <c r="B1319" s="310"/>
    </row>
    <row r="1320" spans="2:2">
      <c r="B1320" s="310"/>
    </row>
    <row r="1321" spans="2:2">
      <c r="B1321" s="310"/>
    </row>
    <row r="1322" spans="2:2">
      <c r="B1322" s="310"/>
    </row>
    <row r="1323" spans="2:2">
      <c r="B1323" s="310"/>
    </row>
    <row r="1324" spans="2:2">
      <c r="B1324" s="310"/>
    </row>
    <row r="1325" spans="2:2">
      <c r="B1325" s="310"/>
    </row>
    <row r="1326" spans="2:2">
      <c r="B1326" s="310"/>
    </row>
    <row r="1327" spans="2:2">
      <c r="B1327" s="310"/>
    </row>
    <row r="1328" spans="2:2">
      <c r="B1328" s="310"/>
    </row>
    <row r="1329" spans="2:2">
      <c r="B1329" s="310"/>
    </row>
    <row r="1330" spans="2:2">
      <c r="B1330" s="310"/>
    </row>
    <row r="1331" spans="2:2">
      <c r="B1331" s="310"/>
    </row>
    <row r="1332" spans="2:2">
      <c r="B1332" s="310"/>
    </row>
    <row r="1333" spans="2:2">
      <c r="B1333" s="310"/>
    </row>
    <row r="1334" spans="2:2">
      <c r="B1334" s="310"/>
    </row>
    <row r="1335" spans="2:2">
      <c r="B1335" s="310"/>
    </row>
    <row r="1336" spans="2:2">
      <c r="B1336" s="310"/>
    </row>
    <row r="1337" spans="2:2">
      <c r="B1337" s="310"/>
    </row>
    <row r="1338" spans="2:2">
      <c r="B1338" s="310"/>
    </row>
    <row r="1339" spans="2:2">
      <c r="B1339" s="310"/>
    </row>
    <row r="1340" spans="2:2">
      <c r="B1340" s="310"/>
    </row>
    <row r="1341" spans="2:2">
      <c r="B1341" s="310"/>
    </row>
    <row r="1342" spans="2:2">
      <c r="B1342" s="310"/>
    </row>
    <row r="1343" spans="2:2">
      <c r="B1343" s="310"/>
    </row>
    <row r="1344" spans="2:2">
      <c r="B1344" s="310"/>
    </row>
    <row r="1345" spans="2:2">
      <c r="B1345" s="310"/>
    </row>
    <row r="1346" spans="2:2">
      <c r="B1346" s="310"/>
    </row>
    <row r="1347" spans="2:2">
      <c r="B1347" s="310"/>
    </row>
    <row r="1348" spans="2:2">
      <c r="B1348" s="310"/>
    </row>
    <row r="1349" spans="2:2">
      <c r="B1349" s="310"/>
    </row>
    <row r="1350" spans="2:2">
      <c r="B1350" s="310"/>
    </row>
    <row r="1351" spans="2:2">
      <c r="B1351" s="310"/>
    </row>
    <row r="1352" spans="2:2">
      <c r="B1352" s="310"/>
    </row>
    <row r="1353" spans="2:2">
      <c r="B1353" s="310"/>
    </row>
    <row r="1354" spans="2:2">
      <c r="B1354" s="310"/>
    </row>
    <row r="1355" spans="2:2">
      <c r="B1355" s="310"/>
    </row>
    <row r="1356" spans="2:2">
      <c r="B1356" s="310"/>
    </row>
    <row r="1357" spans="2:2">
      <c r="B1357" s="310"/>
    </row>
    <row r="1358" spans="2:2">
      <c r="B1358" s="310"/>
    </row>
    <row r="1359" spans="2:2">
      <c r="B1359" s="310"/>
    </row>
    <row r="1360" spans="2:2">
      <c r="B1360" s="310"/>
    </row>
    <row r="1361" spans="2:2">
      <c r="B1361" s="310"/>
    </row>
    <row r="1362" spans="2:2">
      <c r="B1362" s="310"/>
    </row>
    <row r="1363" spans="2:2">
      <c r="B1363" s="310"/>
    </row>
    <row r="1364" spans="2:2">
      <c r="B1364" s="310"/>
    </row>
    <row r="1365" spans="2:2">
      <c r="B1365" s="310"/>
    </row>
    <row r="1366" spans="2:2">
      <c r="B1366" s="310"/>
    </row>
    <row r="1367" spans="2:2">
      <c r="B1367" s="310"/>
    </row>
    <row r="1368" spans="2:2">
      <c r="B1368" s="310"/>
    </row>
    <row r="1369" spans="2:2">
      <c r="B1369" s="310"/>
    </row>
    <row r="1370" spans="2:2">
      <c r="B1370" s="310"/>
    </row>
    <row r="1371" spans="2:2">
      <c r="B1371" s="310"/>
    </row>
    <row r="1372" spans="2:2">
      <c r="B1372" s="310"/>
    </row>
    <row r="1373" spans="2:2">
      <c r="B1373" s="310"/>
    </row>
    <row r="1374" spans="2:2">
      <c r="B1374" s="310"/>
    </row>
    <row r="1375" spans="2:2">
      <c r="B1375" s="310"/>
    </row>
    <row r="1376" spans="2:2">
      <c r="B1376" s="310"/>
    </row>
    <row r="1377" spans="2:2">
      <c r="B1377" s="310"/>
    </row>
    <row r="1378" spans="2:2">
      <c r="B1378" s="310"/>
    </row>
    <row r="1379" spans="2:2">
      <c r="B1379" s="310"/>
    </row>
    <row r="1380" spans="2:2">
      <c r="B1380" s="310"/>
    </row>
    <row r="1381" spans="2:2">
      <c r="B1381" s="310"/>
    </row>
    <row r="1382" spans="2:2">
      <c r="B1382" s="310"/>
    </row>
    <row r="1383" spans="2:2">
      <c r="B1383" s="310"/>
    </row>
    <row r="1384" spans="2:2">
      <c r="B1384" s="310"/>
    </row>
    <row r="1385" spans="2:2">
      <c r="B1385" s="310"/>
    </row>
    <row r="1386" spans="2:2">
      <c r="B1386" s="310"/>
    </row>
    <row r="1387" spans="2:2">
      <c r="B1387" s="310"/>
    </row>
    <row r="1388" spans="2:2">
      <c r="B1388" s="310"/>
    </row>
    <row r="1389" spans="2:2">
      <c r="B1389" s="310"/>
    </row>
    <row r="1390" spans="2:2">
      <c r="B1390" s="310"/>
    </row>
    <row r="1391" spans="2:2">
      <c r="B1391" s="310"/>
    </row>
    <row r="1392" spans="2:2">
      <c r="B1392" s="310"/>
    </row>
    <row r="1393" spans="2:2">
      <c r="B1393" s="310"/>
    </row>
    <row r="1394" spans="2:2">
      <c r="B1394" s="310"/>
    </row>
    <row r="1395" spans="2:2">
      <c r="B1395" s="310"/>
    </row>
    <row r="1396" spans="2:2">
      <c r="B1396" s="310"/>
    </row>
    <row r="1397" spans="2:2">
      <c r="B1397" s="310"/>
    </row>
    <row r="1398" spans="2:2">
      <c r="B1398" s="310"/>
    </row>
    <row r="1399" spans="2:2">
      <c r="B1399" s="310"/>
    </row>
    <row r="1400" spans="2:2">
      <c r="B1400" s="310"/>
    </row>
    <row r="1401" spans="2:2">
      <c r="B1401" s="310"/>
    </row>
    <row r="1402" spans="2:2">
      <c r="B1402" s="310"/>
    </row>
    <row r="1403" spans="2:2">
      <c r="B1403" s="310"/>
    </row>
    <row r="1404" spans="2:2">
      <c r="B1404" s="310"/>
    </row>
    <row r="1405" spans="2:2">
      <c r="B1405" s="310"/>
    </row>
    <row r="1406" spans="2:2">
      <c r="B1406" s="310"/>
    </row>
    <row r="1407" spans="2:2">
      <c r="B1407" s="310"/>
    </row>
    <row r="1408" spans="2:2">
      <c r="B1408" s="310"/>
    </row>
    <row r="1409" spans="2:2">
      <c r="B1409" s="310"/>
    </row>
    <row r="1410" spans="2:2">
      <c r="B1410" s="310"/>
    </row>
    <row r="1411" spans="2:2">
      <c r="B1411" s="310"/>
    </row>
    <row r="1412" spans="2:2">
      <c r="B1412" s="310"/>
    </row>
    <row r="1413" spans="2:2">
      <c r="B1413" s="310"/>
    </row>
    <row r="1414" spans="2:2">
      <c r="B1414" s="310"/>
    </row>
    <row r="1415" spans="2:2">
      <c r="B1415" s="310"/>
    </row>
    <row r="1416" spans="2:2">
      <c r="B1416" s="310"/>
    </row>
    <row r="1417" spans="2:2">
      <c r="B1417" s="310"/>
    </row>
    <row r="1418" spans="2:2">
      <c r="B1418" s="310"/>
    </row>
    <row r="1419" spans="2:2">
      <c r="B1419" s="310"/>
    </row>
    <row r="1420" spans="2:2">
      <c r="B1420" s="310"/>
    </row>
    <row r="1421" spans="2:2">
      <c r="B1421" s="310"/>
    </row>
    <row r="1422" spans="2:2">
      <c r="B1422" s="310"/>
    </row>
    <row r="1423" spans="2:2">
      <c r="B1423" s="310"/>
    </row>
    <row r="1424" spans="2:2">
      <c r="B1424" s="310"/>
    </row>
    <row r="1425" spans="2:2">
      <c r="B1425" s="310"/>
    </row>
    <row r="1426" spans="2:2">
      <c r="B1426" s="310"/>
    </row>
    <row r="1427" spans="2:2">
      <c r="B1427" s="310"/>
    </row>
    <row r="1428" spans="2:2">
      <c r="B1428" s="310"/>
    </row>
    <row r="1429" spans="2:2">
      <c r="B1429" s="310"/>
    </row>
    <row r="1430" spans="2:2">
      <c r="B1430" s="310"/>
    </row>
    <row r="1431" spans="2:2">
      <c r="B1431" s="310"/>
    </row>
    <row r="1432" spans="2:2">
      <c r="B1432" s="310"/>
    </row>
    <row r="1433" spans="2:2">
      <c r="B1433" s="310"/>
    </row>
    <row r="1434" spans="2:2">
      <c r="B1434" s="310"/>
    </row>
    <row r="1435" spans="2:2">
      <c r="B1435" s="310"/>
    </row>
    <row r="1436" spans="2:2">
      <c r="B1436" s="310"/>
    </row>
    <row r="1437" spans="2:2">
      <c r="B1437" s="310"/>
    </row>
    <row r="1438" spans="2:2">
      <c r="B1438" s="310"/>
    </row>
    <row r="1439" spans="2:2">
      <c r="B1439" s="310"/>
    </row>
    <row r="1440" spans="2:2">
      <c r="B1440" s="310"/>
    </row>
    <row r="1441" spans="2:2">
      <c r="B1441" s="310"/>
    </row>
    <row r="1442" spans="2:2">
      <c r="B1442" s="310"/>
    </row>
    <row r="1443" spans="2:2">
      <c r="B1443" s="310"/>
    </row>
    <row r="1444" spans="2:2">
      <c r="B1444" s="310"/>
    </row>
    <row r="1445" spans="2:2">
      <c r="B1445" s="310"/>
    </row>
    <row r="1446" spans="2:2">
      <c r="B1446" s="310"/>
    </row>
    <row r="1447" spans="2:2">
      <c r="B1447" s="310"/>
    </row>
    <row r="1448" spans="2:2">
      <c r="B1448" s="310"/>
    </row>
    <row r="1449" spans="2:2">
      <c r="B1449" s="310"/>
    </row>
    <row r="1450" spans="2:2">
      <c r="B1450" s="310"/>
    </row>
    <row r="1451" spans="2:2">
      <c r="B1451" s="310"/>
    </row>
    <row r="1452" spans="2:2">
      <c r="B1452" s="310"/>
    </row>
    <row r="1453" spans="2:2">
      <c r="B1453" s="310"/>
    </row>
    <row r="1454" spans="2:2">
      <c r="B1454" s="310"/>
    </row>
    <row r="1455" spans="2:2">
      <c r="B1455" s="310"/>
    </row>
    <row r="1456" spans="2:2">
      <c r="B1456" s="310"/>
    </row>
    <row r="1457" spans="2:2">
      <c r="B1457" s="310"/>
    </row>
    <row r="1458" spans="2:2">
      <c r="B1458" s="310"/>
    </row>
    <row r="1459" spans="2:2">
      <c r="B1459" s="310"/>
    </row>
    <row r="1460" spans="2:2">
      <c r="B1460" s="310"/>
    </row>
    <row r="1461" spans="2:2">
      <c r="B1461" s="310"/>
    </row>
    <row r="1462" spans="2:2">
      <c r="B1462" s="310"/>
    </row>
    <row r="1463" spans="2:2">
      <c r="B1463" s="310"/>
    </row>
    <row r="1464" spans="2:2">
      <c r="B1464" s="310"/>
    </row>
    <row r="1465" spans="2:2">
      <c r="B1465" s="310"/>
    </row>
    <row r="1466" spans="2:2">
      <c r="B1466" s="310"/>
    </row>
    <row r="1467" spans="2:2">
      <c r="B1467" s="310"/>
    </row>
    <row r="1468" spans="2:2">
      <c r="B1468" s="310"/>
    </row>
    <row r="1469" spans="2:2">
      <c r="B1469" s="310"/>
    </row>
    <row r="1470" spans="2:2">
      <c r="B1470" s="310"/>
    </row>
    <row r="1471" spans="2:2">
      <c r="B1471" s="310"/>
    </row>
    <row r="1472" spans="2:2">
      <c r="B1472" s="310"/>
    </row>
    <row r="1473" spans="2:2">
      <c r="B1473" s="310"/>
    </row>
    <row r="1474" spans="2:2">
      <c r="B1474" s="310"/>
    </row>
    <row r="1475" spans="2:2">
      <c r="B1475" s="310"/>
    </row>
    <row r="1476" spans="2:2">
      <c r="B1476" s="310"/>
    </row>
    <row r="1477" spans="2:2">
      <c r="B1477" s="310"/>
    </row>
    <row r="1478" spans="2:2">
      <c r="B1478" s="310"/>
    </row>
    <row r="1479" spans="2:2">
      <c r="B1479" s="310"/>
    </row>
    <row r="1480" spans="2:2">
      <c r="B1480" s="310"/>
    </row>
    <row r="1481" spans="2:2">
      <c r="B1481" s="310"/>
    </row>
    <row r="1482" spans="2:2">
      <c r="B1482" s="310"/>
    </row>
    <row r="1483" spans="2:2">
      <c r="B1483" s="310"/>
    </row>
    <row r="1484" spans="2:2">
      <c r="B1484" s="310"/>
    </row>
    <row r="1485" spans="2:2">
      <c r="B1485" s="310"/>
    </row>
    <row r="1486" spans="2:2">
      <c r="B1486" s="310"/>
    </row>
    <row r="1487" spans="2:2">
      <c r="B1487" s="310"/>
    </row>
    <row r="1488" spans="2:2">
      <c r="B1488" s="310"/>
    </row>
    <row r="1489" spans="2:2">
      <c r="B1489" s="310"/>
    </row>
    <row r="1490" spans="2:2">
      <c r="B1490" s="310"/>
    </row>
    <row r="1491" spans="2:2">
      <c r="B1491" s="310"/>
    </row>
    <row r="1492" spans="2:2">
      <c r="B1492" s="310"/>
    </row>
    <row r="1493" spans="2:2">
      <c r="B1493" s="310"/>
    </row>
    <row r="1494" spans="2:2">
      <c r="B1494" s="310"/>
    </row>
    <row r="1495" spans="2:2">
      <c r="B1495" s="310"/>
    </row>
    <row r="1496" spans="2:2">
      <c r="B1496" s="310"/>
    </row>
    <row r="1497" spans="2:2">
      <c r="B1497" s="310"/>
    </row>
    <row r="1498" spans="2:2">
      <c r="B1498" s="310"/>
    </row>
    <row r="1499" spans="2:2">
      <c r="B1499" s="310"/>
    </row>
    <row r="1500" spans="2:2">
      <c r="B1500" s="310"/>
    </row>
    <row r="1501" spans="2:2">
      <c r="B1501" s="310"/>
    </row>
    <row r="1502" spans="2:2">
      <c r="B1502" s="310"/>
    </row>
    <row r="1503" spans="2:2">
      <c r="B1503" s="310"/>
    </row>
    <row r="1504" spans="2:2">
      <c r="B1504" s="310"/>
    </row>
    <row r="1505" spans="2:2">
      <c r="B1505" s="310"/>
    </row>
    <row r="1506" spans="2:2">
      <c r="B1506" s="310"/>
    </row>
    <row r="1507" spans="2:2">
      <c r="B1507" s="310"/>
    </row>
    <row r="1508" spans="2:2">
      <c r="B1508" s="310"/>
    </row>
    <row r="1509" spans="2:2">
      <c r="B1509" s="310"/>
    </row>
    <row r="1510" spans="2:2">
      <c r="B1510" s="310"/>
    </row>
    <row r="1511" spans="2:2">
      <c r="B1511" s="310"/>
    </row>
    <row r="1512" spans="2:2">
      <c r="B1512" s="310"/>
    </row>
    <row r="1513" spans="2:2">
      <c r="B1513" s="310"/>
    </row>
    <row r="1514" spans="2:2">
      <c r="B1514" s="310"/>
    </row>
    <row r="1515" spans="2:2">
      <c r="B1515" s="310"/>
    </row>
    <row r="1516" spans="2:2">
      <c r="B1516" s="310"/>
    </row>
    <row r="1517" spans="2:2">
      <c r="B1517" s="310"/>
    </row>
    <row r="1518" spans="2:2">
      <c r="B1518" s="310"/>
    </row>
    <row r="1519" spans="2:2">
      <c r="B1519" s="310"/>
    </row>
    <row r="1520" spans="2:2">
      <c r="B1520" s="310"/>
    </row>
    <row r="1521" spans="2:2">
      <c r="B1521" s="310"/>
    </row>
    <row r="1522" spans="2:2">
      <c r="B1522" s="310"/>
    </row>
    <row r="1523" spans="2:2">
      <c r="B1523" s="310"/>
    </row>
    <row r="1524" spans="2:2">
      <c r="B1524" s="310"/>
    </row>
    <row r="1525" spans="2:2">
      <c r="B1525" s="310"/>
    </row>
    <row r="1526" spans="2:2">
      <c r="B1526" s="310"/>
    </row>
    <row r="1527" spans="2:2">
      <c r="B1527" s="310"/>
    </row>
    <row r="1528" spans="2:2">
      <c r="B1528" s="310"/>
    </row>
    <row r="1529" spans="2:2">
      <c r="B1529" s="310"/>
    </row>
    <row r="1530" spans="2:2">
      <c r="B1530" s="310"/>
    </row>
    <row r="1531" spans="2:2">
      <c r="B1531" s="310"/>
    </row>
    <row r="1532" spans="2:2">
      <c r="B1532" s="310"/>
    </row>
    <row r="1533" spans="2:2">
      <c r="B1533" s="310"/>
    </row>
    <row r="1534" spans="2:2">
      <c r="B1534" s="310"/>
    </row>
    <row r="1535" spans="2:2">
      <c r="B1535" s="310"/>
    </row>
    <row r="1536" spans="2:2">
      <c r="B1536" s="310"/>
    </row>
    <row r="1537" spans="2:2">
      <c r="B1537" s="310"/>
    </row>
    <row r="1538" spans="2:2">
      <c r="B1538" s="310"/>
    </row>
    <row r="1539" spans="2:2">
      <c r="B1539" s="310"/>
    </row>
    <row r="1540" spans="2:2">
      <c r="B1540" s="310"/>
    </row>
    <row r="1541" spans="2:2">
      <c r="B1541" s="310"/>
    </row>
    <row r="1542" spans="2:2">
      <c r="B1542" s="310"/>
    </row>
    <row r="1543" spans="2:2">
      <c r="B1543" s="310"/>
    </row>
    <row r="1544" spans="2:2">
      <c r="B1544" s="310"/>
    </row>
    <row r="1545" spans="2:2">
      <c r="B1545" s="310"/>
    </row>
    <row r="1546" spans="2:2">
      <c r="B1546" s="310"/>
    </row>
    <row r="1547" spans="2:2">
      <c r="B1547" s="310"/>
    </row>
    <row r="1548" spans="2:2">
      <c r="B1548" s="310"/>
    </row>
    <row r="1549" spans="2:2">
      <c r="B1549" s="310"/>
    </row>
    <row r="1550" spans="2:2">
      <c r="B1550" s="310"/>
    </row>
    <row r="1551" spans="2:2">
      <c r="B1551" s="310"/>
    </row>
    <row r="1552" spans="2:2">
      <c r="B1552" s="310"/>
    </row>
    <row r="1553" spans="2:2">
      <c r="B1553" s="310"/>
    </row>
    <row r="1554" spans="2:2">
      <c r="B1554" s="310"/>
    </row>
    <row r="1555" spans="2:2">
      <c r="B1555" s="310"/>
    </row>
    <row r="1556" spans="2:2">
      <c r="B1556" s="310"/>
    </row>
    <row r="1557" spans="2:2">
      <c r="B1557" s="310"/>
    </row>
    <row r="1558" spans="2:2">
      <c r="B1558" s="310"/>
    </row>
    <row r="1559" spans="2:2">
      <c r="B1559" s="310"/>
    </row>
    <row r="1560" spans="2:2">
      <c r="B1560" s="310"/>
    </row>
    <row r="1561" spans="2:2">
      <c r="B1561" s="310"/>
    </row>
    <row r="1562" spans="2:2">
      <c r="B1562" s="310"/>
    </row>
    <row r="1563" spans="2:2">
      <c r="B1563" s="310"/>
    </row>
    <row r="1564" spans="2:2">
      <c r="B1564" s="310"/>
    </row>
    <row r="1565" spans="2:2">
      <c r="B1565" s="310"/>
    </row>
    <row r="1566" spans="2:2">
      <c r="B1566" s="310"/>
    </row>
    <row r="1567" spans="2:2">
      <c r="B1567" s="310"/>
    </row>
    <row r="1568" spans="2:2">
      <c r="B1568" s="310"/>
    </row>
    <row r="1569" spans="2:2">
      <c r="B1569" s="310"/>
    </row>
    <row r="1570" spans="2:2">
      <c r="B1570" s="310"/>
    </row>
    <row r="1571" spans="2:2">
      <c r="B1571" s="310"/>
    </row>
    <row r="1572" spans="2:2">
      <c r="B1572" s="310"/>
    </row>
    <row r="1573" spans="2:2">
      <c r="B1573" s="310"/>
    </row>
    <row r="1574" spans="2:2">
      <c r="B1574" s="310"/>
    </row>
    <row r="1575" spans="2:2">
      <c r="B1575" s="310"/>
    </row>
    <row r="1576" spans="2:2">
      <c r="B1576" s="310"/>
    </row>
    <row r="1577" spans="2:2">
      <c r="B1577" s="310"/>
    </row>
    <row r="1578" spans="2:2">
      <c r="B1578" s="310"/>
    </row>
    <row r="1579" spans="2:2">
      <c r="B1579" s="310"/>
    </row>
    <row r="1580" spans="2:2">
      <c r="B1580" s="310"/>
    </row>
    <row r="1581" spans="2:2">
      <c r="B1581" s="310"/>
    </row>
    <row r="1582" spans="2:2">
      <c r="B1582" s="310"/>
    </row>
    <row r="1583" spans="2:2">
      <c r="B1583" s="310"/>
    </row>
    <row r="1584" spans="2:2">
      <c r="B1584" s="310"/>
    </row>
    <row r="1585" spans="2:2">
      <c r="B1585" s="310"/>
    </row>
    <row r="1586" spans="2:2">
      <c r="B1586" s="310"/>
    </row>
    <row r="1587" spans="2:2">
      <c r="B1587" s="310"/>
    </row>
    <row r="1588" spans="2:2">
      <c r="B1588" s="310"/>
    </row>
    <row r="1589" spans="2:2">
      <c r="B1589" s="310"/>
    </row>
    <row r="1590" spans="2:2">
      <c r="B1590" s="310"/>
    </row>
    <row r="1591" spans="2:2">
      <c r="B1591" s="310"/>
    </row>
    <row r="1592" spans="2:2">
      <c r="B1592" s="310"/>
    </row>
    <row r="1593" spans="2:2">
      <c r="B1593" s="310"/>
    </row>
    <row r="1594" spans="2:2">
      <c r="B1594" s="310"/>
    </row>
    <row r="1595" spans="2:2">
      <c r="B1595" s="310"/>
    </row>
    <row r="1596" spans="2:2">
      <c r="B1596" s="310"/>
    </row>
    <row r="1597" spans="2:2">
      <c r="B1597" s="310"/>
    </row>
    <row r="1598" spans="2:2">
      <c r="B1598" s="310"/>
    </row>
    <row r="1599" spans="2:2">
      <c r="B1599" s="310"/>
    </row>
    <row r="1600" spans="2:2">
      <c r="B1600" s="310"/>
    </row>
    <row r="1601" spans="2:2">
      <c r="B1601" s="310"/>
    </row>
    <row r="1602" spans="2:2">
      <c r="B1602" s="310"/>
    </row>
    <row r="1603" spans="2:2">
      <c r="B1603" s="310"/>
    </row>
    <row r="1604" spans="2:2">
      <c r="B1604" s="310"/>
    </row>
    <row r="1605" spans="2:2">
      <c r="B1605" s="310"/>
    </row>
    <row r="1606" spans="2:2">
      <c r="B1606" s="310"/>
    </row>
    <row r="1607" spans="2:2">
      <c r="B1607" s="310"/>
    </row>
    <row r="1608" spans="2:2">
      <c r="B1608" s="310"/>
    </row>
    <row r="1609" spans="2:2">
      <c r="B1609" s="310"/>
    </row>
    <row r="1610" spans="2:2">
      <c r="B1610" s="310"/>
    </row>
    <row r="1611" spans="2:2">
      <c r="B1611" s="310"/>
    </row>
    <row r="1612" spans="2:2">
      <c r="B1612" s="310"/>
    </row>
    <row r="1613" spans="2:2">
      <c r="B1613" s="310"/>
    </row>
    <row r="1614" spans="2:2">
      <c r="B1614" s="310"/>
    </row>
    <row r="1615" spans="2:2">
      <c r="B1615" s="310"/>
    </row>
    <row r="1616" spans="2:2">
      <c r="B1616" s="310"/>
    </row>
    <row r="1617" spans="2:2">
      <c r="B1617" s="310"/>
    </row>
    <row r="1618" spans="2:2">
      <c r="B1618" s="310"/>
    </row>
    <row r="1619" spans="2:2">
      <c r="B1619" s="310"/>
    </row>
    <row r="1620" spans="2:2">
      <c r="B1620" s="310"/>
    </row>
    <row r="1621" spans="2:2">
      <c r="B1621" s="310"/>
    </row>
    <row r="1622" spans="2:2">
      <c r="B1622" s="310"/>
    </row>
    <row r="1623" spans="2:2">
      <c r="B1623" s="310"/>
    </row>
    <row r="1624" spans="2:2">
      <c r="B1624" s="310"/>
    </row>
    <row r="1625" spans="2:2">
      <c r="B1625" s="310"/>
    </row>
    <row r="1626" spans="2:2">
      <c r="B1626" s="310"/>
    </row>
    <row r="1627" spans="2:2">
      <c r="B1627" s="310"/>
    </row>
    <row r="1628" spans="2:2">
      <c r="B1628" s="310"/>
    </row>
    <row r="1629" spans="2:2">
      <c r="B1629" s="310"/>
    </row>
    <row r="1630" spans="2:2">
      <c r="B1630" s="310"/>
    </row>
    <row r="1631" spans="2:2">
      <c r="B1631" s="310"/>
    </row>
    <row r="1632" spans="2:2">
      <c r="B1632" s="310"/>
    </row>
    <row r="1633" spans="2:2">
      <c r="B1633" s="310"/>
    </row>
    <row r="1634" spans="2:2">
      <c r="B1634" s="310"/>
    </row>
    <row r="1635" spans="2:2">
      <c r="B1635" s="310"/>
    </row>
    <row r="1636" spans="2:2">
      <c r="B1636" s="310"/>
    </row>
    <row r="1637" spans="2:2">
      <c r="B1637" s="310"/>
    </row>
    <row r="1638" spans="2:2">
      <c r="B1638" s="310"/>
    </row>
    <row r="1639" spans="2:2">
      <c r="B1639" s="310"/>
    </row>
    <row r="1640" spans="2:2">
      <c r="B1640" s="310"/>
    </row>
    <row r="1641" spans="2:2">
      <c r="B1641" s="310"/>
    </row>
    <row r="1642" spans="2:2">
      <c r="B1642" s="310"/>
    </row>
    <row r="1643" spans="2:2">
      <c r="B1643" s="310"/>
    </row>
    <row r="1644" spans="2:2">
      <c r="B1644" s="310"/>
    </row>
    <row r="1645" spans="2:2">
      <c r="B1645" s="310"/>
    </row>
    <row r="1646" spans="2:2">
      <c r="B1646" s="310"/>
    </row>
    <row r="1647" spans="2:2">
      <c r="B1647" s="310"/>
    </row>
    <row r="1648" spans="2:2">
      <c r="B1648" s="310"/>
    </row>
    <row r="1649" spans="2:2">
      <c r="B1649" s="310"/>
    </row>
    <row r="1650" spans="2:2">
      <c r="B1650" s="310"/>
    </row>
    <row r="1651" spans="2:2">
      <c r="B1651" s="310"/>
    </row>
    <row r="1652" spans="2:2">
      <c r="B1652" s="310"/>
    </row>
    <row r="1653" spans="2:2">
      <c r="B1653" s="310"/>
    </row>
    <row r="1654" spans="2:2">
      <c r="B1654" s="310"/>
    </row>
    <row r="1655" spans="2:2">
      <c r="B1655" s="310"/>
    </row>
    <row r="1656" spans="2:2">
      <c r="B1656" s="310"/>
    </row>
    <row r="1657" spans="2:2">
      <c r="B1657" s="310"/>
    </row>
    <row r="1658" spans="2:2">
      <c r="B1658" s="310"/>
    </row>
    <row r="1659" spans="2:2">
      <c r="B1659" s="310"/>
    </row>
    <row r="1660" spans="2:2">
      <c r="B1660" s="310"/>
    </row>
    <row r="1661" spans="2:2">
      <c r="B1661" s="310"/>
    </row>
    <row r="1662" spans="2:2">
      <c r="B1662" s="310"/>
    </row>
    <row r="1663" spans="2:2">
      <c r="B1663" s="310"/>
    </row>
    <row r="1664" spans="2:2">
      <c r="B1664" s="310"/>
    </row>
    <row r="1665" spans="2:2">
      <c r="B1665" s="310"/>
    </row>
    <row r="1666" spans="2:2">
      <c r="B1666" s="310"/>
    </row>
    <row r="1667" spans="2:2">
      <c r="B1667" s="310"/>
    </row>
    <row r="1668" spans="2:2">
      <c r="B1668" s="310"/>
    </row>
    <row r="1669" spans="2:2">
      <c r="B1669" s="310"/>
    </row>
    <row r="1670" spans="2:2">
      <c r="B1670" s="310"/>
    </row>
    <row r="1671" spans="2:2">
      <c r="B1671" s="310"/>
    </row>
    <row r="1672" spans="2:2">
      <c r="B1672" s="310"/>
    </row>
    <row r="1673" spans="2:2">
      <c r="B1673" s="310"/>
    </row>
    <row r="1674" spans="2:2">
      <c r="B1674" s="310"/>
    </row>
    <row r="1675" spans="2:2">
      <c r="B1675" s="310"/>
    </row>
    <row r="1676" spans="2:2">
      <c r="B1676" s="310"/>
    </row>
    <row r="1677" spans="2:2">
      <c r="B1677" s="310"/>
    </row>
    <row r="1678" spans="2:2">
      <c r="B1678" s="310"/>
    </row>
    <row r="1679" spans="2:2">
      <c r="B1679" s="310"/>
    </row>
    <row r="1680" spans="2:2">
      <c r="B1680" s="310"/>
    </row>
    <row r="1681" spans="2:2">
      <c r="B1681" s="310"/>
    </row>
    <row r="1682" spans="2:2">
      <c r="B1682" s="310"/>
    </row>
    <row r="1683" spans="2:2">
      <c r="B1683" s="310"/>
    </row>
    <row r="1684" spans="2:2">
      <c r="B1684" s="310"/>
    </row>
    <row r="1685" spans="2:2">
      <c r="B1685" s="310"/>
    </row>
    <row r="1686" spans="2:2">
      <c r="B1686" s="310"/>
    </row>
    <row r="1687" spans="2:2">
      <c r="B1687" s="310"/>
    </row>
    <row r="1688" spans="2:2">
      <c r="B1688" s="310"/>
    </row>
    <row r="1689" spans="2:2">
      <c r="B1689" s="310"/>
    </row>
    <row r="1690" spans="2:2">
      <c r="B1690" s="310"/>
    </row>
    <row r="1691" spans="2:2">
      <c r="B1691" s="310"/>
    </row>
    <row r="1692" spans="2:2">
      <c r="B1692" s="310"/>
    </row>
    <row r="1693" spans="2:2">
      <c r="B1693" s="310"/>
    </row>
    <row r="1694" spans="2:2">
      <c r="B1694" s="310"/>
    </row>
    <row r="1695" spans="2:2">
      <c r="B1695" s="310"/>
    </row>
    <row r="1696" spans="2:2">
      <c r="B1696" s="310"/>
    </row>
    <row r="1697" spans="2:2">
      <c r="B1697" s="310"/>
    </row>
    <row r="1698" spans="2:2">
      <c r="B1698" s="310"/>
    </row>
    <row r="1699" spans="2:2">
      <c r="B1699" s="310"/>
    </row>
    <row r="1700" spans="2:2">
      <c r="B1700" s="310"/>
    </row>
    <row r="1701" spans="2:2">
      <c r="B1701" s="310"/>
    </row>
    <row r="1702" spans="2:2">
      <c r="B1702" s="310"/>
    </row>
    <row r="1703" spans="2:2">
      <c r="B1703" s="310"/>
    </row>
    <row r="1704" spans="2:2">
      <c r="B1704" s="310"/>
    </row>
    <row r="1705" spans="2:2">
      <c r="B1705" s="310"/>
    </row>
    <row r="1706" spans="2:2">
      <c r="B1706" s="310"/>
    </row>
    <row r="1707" spans="2:2">
      <c r="B1707" s="310"/>
    </row>
    <row r="1708" spans="2:2">
      <c r="B1708" s="310"/>
    </row>
    <row r="1709" spans="2:2">
      <c r="B1709" s="310"/>
    </row>
    <row r="1710" spans="2:2">
      <c r="B1710" s="310"/>
    </row>
    <row r="1711" spans="2:2">
      <c r="B1711" s="310"/>
    </row>
    <row r="1712" spans="2:2">
      <c r="B1712" s="310"/>
    </row>
    <row r="1713" spans="2:2">
      <c r="B1713" s="310"/>
    </row>
    <row r="1714" spans="2:2">
      <c r="B1714" s="310"/>
    </row>
    <row r="1715" spans="2:2">
      <c r="B1715" s="310"/>
    </row>
    <row r="1716" spans="2:2">
      <c r="B1716" s="310"/>
    </row>
    <row r="1717" spans="2:2">
      <c r="B1717" s="310"/>
    </row>
    <row r="1718" spans="2:2">
      <c r="B1718" s="310"/>
    </row>
    <row r="1719" spans="2:2">
      <c r="B1719" s="310"/>
    </row>
    <row r="1720" spans="2:2">
      <c r="B1720" s="310"/>
    </row>
    <row r="1721" spans="2:2">
      <c r="B1721" s="310"/>
    </row>
    <row r="1722" spans="2:2">
      <c r="B1722" s="310"/>
    </row>
    <row r="1723" spans="2:2">
      <c r="B1723" s="310"/>
    </row>
    <row r="1724" spans="2:2">
      <c r="B1724" s="310"/>
    </row>
    <row r="1725" spans="2:2">
      <c r="B1725" s="310"/>
    </row>
    <row r="1726" spans="2:2">
      <c r="B1726" s="310"/>
    </row>
    <row r="1727" spans="2:2">
      <c r="B1727" s="310"/>
    </row>
    <row r="1728" spans="2:2">
      <c r="B1728" s="310"/>
    </row>
    <row r="1729" spans="2:2">
      <c r="B1729" s="310"/>
    </row>
    <row r="1730" spans="2:2">
      <c r="B1730" s="310"/>
    </row>
    <row r="1731" spans="2:2">
      <c r="B1731" s="310"/>
    </row>
    <row r="1732" spans="2:2">
      <c r="B1732" s="310"/>
    </row>
    <row r="1733" spans="2:2">
      <c r="B1733" s="310"/>
    </row>
    <row r="1734" spans="2:2">
      <c r="B1734" s="310"/>
    </row>
    <row r="1735" spans="2:2">
      <c r="B1735" s="310"/>
    </row>
    <row r="1736" spans="2:2">
      <c r="B1736" s="310"/>
    </row>
    <row r="1737" spans="2:2">
      <c r="B1737" s="310"/>
    </row>
    <row r="1738" spans="2:2">
      <c r="B1738" s="310"/>
    </row>
    <row r="1739" spans="2:2">
      <c r="B1739" s="310"/>
    </row>
    <row r="1740" spans="2:2">
      <c r="B1740" s="310"/>
    </row>
    <row r="1741" spans="2:2">
      <c r="B1741" s="310"/>
    </row>
    <row r="1742" spans="2:2">
      <c r="B1742" s="310"/>
    </row>
    <row r="1743" spans="2:2">
      <c r="B1743" s="310"/>
    </row>
    <row r="1744" spans="2:2">
      <c r="B1744" s="310"/>
    </row>
    <row r="1745" spans="2:2">
      <c r="B1745" s="310"/>
    </row>
    <row r="1746" spans="2:2">
      <c r="B1746" s="310"/>
    </row>
    <row r="1747" spans="2:2">
      <c r="B1747" s="310"/>
    </row>
    <row r="1748" spans="2:2">
      <c r="B1748" s="310"/>
    </row>
    <row r="1749" spans="2:2">
      <c r="B1749" s="310"/>
    </row>
    <row r="1750" spans="2:2">
      <c r="B1750" s="310"/>
    </row>
    <row r="1751" spans="2:2">
      <c r="B1751" s="310"/>
    </row>
    <row r="1752" spans="2:2">
      <c r="B1752" s="310"/>
    </row>
    <row r="1753" spans="2:2">
      <c r="B1753" s="310"/>
    </row>
    <row r="1754" spans="2:2">
      <c r="B1754" s="310"/>
    </row>
    <row r="1755" spans="2:2">
      <c r="B1755" s="310"/>
    </row>
    <row r="1756" spans="2:2">
      <c r="B1756" s="310"/>
    </row>
    <row r="1757" spans="2:2">
      <c r="B1757" s="310"/>
    </row>
    <row r="1758" spans="2:2">
      <c r="B1758" s="310"/>
    </row>
    <row r="1759" spans="2:2">
      <c r="B1759" s="310"/>
    </row>
    <row r="1760" spans="2:2">
      <c r="B1760" s="310"/>
    </row>
    <row r="1761" spans="2:2">
      <c r="B1761" s="310"/>
    </row>
    <row r="1762" spans="2:2">
      <c r="B1762" s="310"/>
    </row>
    <row r="1763" spans="2:2">
      <c r="B1763" s="310"/>
    </row>
    <row r="1764" spans="2:2">
      <c r="B1764" s="310"/>
    </row>
    <row r="1765" spans="2:2">
      <c r="B1765" s="310"/>
    </row>
    <row r="1766" spans="2:2">
      <c r="B1766" s="310"/>
    </row>
    <row r="1767" spans="2:2">
      <c r="B1767" s="310"/>
    </row>
    <row r="1768" spans="2:2">
      <c r="B1768" s="310"/>
    </row>
    <row r="1769" spans="2:2">
      <c r="B1769" s="310"/>
    </row>
    <row r="1770" spans="2:2">
      <c r="B1770" s="310"/>
    </row>
    <row r="1771" spans="2:2">
      <c r="B1771" s="310"/>
    </row>
    <row r="1772" spans="2:2">
      <c r="B1772" s="310"/>
    </row>
    <row r="1773" spans="2:2">
      <c r="B1773" s="310"/>
    </row>
    <row r="1774" spans="2:2">
      <c r="B1774" s="310"/>
    </row>
    <row r="1775" spans="2:2">
      <c r="B1775" s="310"/>
    </row>
    <row r="1776" spans="2:2">
      <c r="B1776" s="310"/>
    </row>
    <row r="1777" spans="2:2">
      <c r="B1777" s="310"/>
    </row>
    <row r="1778" spans="2:2">
      <c r="B1778" s="310"/>
    </row>
    <row r="1779" spans="2:2">
      <c r="B1779" s="310"/>
    </row>
    <row r="1780" spans="2:2">
      <c r="B1780" s="310"/>
    </row>
    <row r="1781" spans="2:2">
      <c r="B1781" s="310"/>
    </row>
    <row r="1782" spans="2:2">
      <c r="B1782" s="310"/>
    </row>
    <row r="1783" spans="2:2">
      <c r="B1783" s="310"/>
    </row>
    <row r="1784" spans="2:2">
      <c r="B1784" s="310"/>
    </row>
    <row r="1785" spans="2:2">
      <c r="B1785" s="310"/>
    </row>
    <row r="1786" spans="2:2">
      <c r="B1786" s="310"/>
    </row>
    <row r="1787" spans="2:2">
      <c r="B1787" s="310"/>
    </row>
    <row r="1788" spans="2:2">
      <c r="B1788" s="310"/>
    </row>
    <row r="1789" spans="2:2">
      <c r="B1789" s="310"/>
    </row>
    <row r="1790" spans="2:2">
      <c r="B1790" s="310"/>
    </row>
    <row r="1791" spans="2:2">
      <c r="B1791" s="310"/>
    </row>
    <row r="1792" spans="2:2">
      <c r="B1792" s="310"/>
    </row>
    <row r="1793" spans="2:2">
      <c r="B1793" s="310"/>
    </row>
    <row r="1794" spans="2:2">
      <c r="B1794" s="310"/>
    </row>
    <row r="1795" spans="2:2">
      <c r="B1795" s="310"/>
    </row>
    <row r="1796" spans="2:2">
      <c r="B1796" s="310"/>
    </row>
    <row r="1797" spans="2:2">
      <c r="B1797" s="310"/>
    </row>
    <row r="1798" spans="2:2">
      <c r="B1798" s="310"/>
    </row>
    <row r="1799" spans="2:2">
      <c r="B1799" s="310"/>
    </row>
    <row r="1800" spans="2:2">
      <c r="B1800" s="310"/>
    </row>
    <row r="1801" spans="2:2">
      <c r="B1801" s="310"/>
    </row>
    <row r="1802" spans="2:2">
      <c r="B1802" s="310"/>
    </row>
    <row r="1803" spans="2:2">
      <c r="B1803" s="310"/>
    </row>
    <row r="1804" spans="2:2">
      <c r="B1804" s="310"/>
    </row>
    <row r="1805" spans="2:2">
      <c r="B1805" s="310"/>
    </row>
    <row r="1806" spans="2:2">
      <c r="B1806" s="310"/>
    </row>
    <row r="1807" spans="2:2">
      <c r="B1807" s="310"/>
    </row>
    <row r="1808" spans="2:2">
      <c r="B1808" s="310"/>
    </row>
    <row r="1809" spans="2:2">
      <c r="B1809" s="310"/>
    </row>
    <row r="1810" spans="2:2">
      <c r="B1810" s="310"/>
    </row>
    <row r="1811" spans="2:2">
      <c r="B1811" s="310"/>
    </row>
    <row r="1812" spans="2:2">
      <c r="B1812" s="310"/>
    </row>
    <row r="1813" spans="2:2">
      <c r="B1813" s="310"/>
    </row>
    <row r="1814" spans="2:2">
      <c r="B1814" s="310"/>
    </row>
    <row r="1815" spans="2:2">
      <c r="B1815" s="310"/>
    </row>
    <row r="1816" spans="2:2">
      <c r="B1816" s="310"/>
    </row>
    <row r="1817" spans="2:2">
      <c r="B1817" s="310"/>
    </row>
    <row r="1818" spans="2:2">
      <c r="B1818" s="310"/>
    </row>
    <row r="1819" spans="2:2">
      <c r="B1819" s="310"/>
    </row>
    <row r="1820" spans="2:2">
      <c r="B1820" s="310"/>
    </row>
    <row r="1821" spans="2:2">
      <c r="B1821" s="310"/>
    </row>
    <row r="1822" spans="2:2">
      <c r="B1822" s="310"/>
    </row>
    <row r="1823" spans="2:2">
      <c r="B1823" s="310"/>
    </row>
    <row r="1824" spans="2:2">
      <c r="B1824" s="310"/>
    </row>
    <row r="1825" spans="2:2">
      <c r="B1825" s="310"/>
    </row>
    <row r="1826" spans="2:2">
      <c r="B1826" s="310"/>
    </row>
    <row r="1827" spans="2:2">
      <c r="B1827" s="310"/>
    </row>
    <row r="1828" spans="2:2">
      <c r="B1828" s="310"/>
    </row>
    <row r="1829" spans="2:2">
      <c r="B1829" s="310"/>
    </row>
    <row r="1830" spans="2:2">
      <c r="B1830" s="310"/>
    </row>
    <row r="1831" spans="2:2">
      <c r="B1831" s="310"/>
    </row>
    <row r="1832" spans="2:2">
      <c r="B1832" s="310"/>
    </row>
    <row r="1833" spans="2:2">
      <c r="B1833" s="310"/>
    </row>
    <row r="1834" spans="2:2">
      <c r="B1834" s="310"/>
    </row>
    <row r="1835" spans="2:2">
      <c r="B1835" s="310"/>
    </row>
    <row r="1836" spans="2:2">
      <c r="B1836" s="310"/>
    </row>
    <row r="1837" spans="2:2">
      <c r="B1837" s="310"/>
    </row>
    <row r="1838" spans="2:2">
      <c r="B1838" s="310"/>
    </row>
    <row r="1839" spans="2:2">
      <c r="B1839" s="310"/>
    </row>
    <row r="1840" spans="2:2">
      <c r="B1840" s="310"/>
    </row>
    <row r="1841" spans="2:2">
      <c r="B1841" s="310"/>
    </row>
    <row r="1842" spans="2:2">
      <c r="B1842" s="310"/>
    </row>
    <row r="1843" spans="2:2">
      <c r="B1843" s="310"/>
    </row>
    <row r="1844" spans="2:2">
      <c r="B1844" s="310"/>
    </row>
    <row r="1845" spans="2:2">
      <c r="B1845" s="310"/>
    </row>
    <row r="1846" spans="2:2">
      <c r="B1846" s="310"/>
    </row>
    <row r="1847" spans="2:2">
      <c r="B1847" s="310"/>
    </row>
    <row r="1848" spans="2:2">
      <c r="B1848" s="310"/>
    </row>
    <row r="1849" spans="2:2">
      <c r="B1849" s="310"/>
    </row>
    <row r="1850" spans="2:2">
      <c r="B1850" s="310"/>
    </row>
    <row r="1851" spans="2:2">
      <c r="B1851" s="310"/>
    </row>
    <row r="1852" spans="2:2">
      <c r="B1852" s="310"/>
    </row>
    <row r="1853" spans="2:2">
      <c r="B1853" s="310"/>
    </row>
    <row r="1854" spans="2:2">
      <c r="B1854" s="310"/>
    </row>
    <row r="1855" spans="2:2">
      <c r="B1855" s="310"/>
    </row>
    <row r="1856" spans="2:2">
      <c r="B1856" s="310"/>
    </row>
    <row r="1857" spans="2:2">
      <c r="B1857" s="310"/>
    </row>
    <row r="1858" spans="2:2">
      <c r="B1858" s="310"/>
    </row>
    <row r="1859" spans="2:2">
      <c r="B1859" s="310"/>
    </row>
    <row r="1860" spans="2:2">
      <c r="B1860" s="310"/>
    </row>
    <row r="1861" spans="2:2">
      <c r="B1861" s="310"/>
    </row>
    <row r="1862" spans="2:2">
      <c r="B1862" s="310"/>
    </row>
    <row r="1863" spans="2:2">
      <c r="B1863" s="310"/>
    </row>
    <row r="1864" spans="2:2">
      <c r="B1864" s="310"/>
    </row>
    <row r="1865" spans="2:2">
      <c r="B1865" s="310"/>
    </row>
    <row r="1866" spans="2:2">
      <c r="B1866" s="310"/>
    </row>
    <row r="1867" spans="2:2">
      <c r="B1867" s="310"/>
    </row>
    <row r="1868" spans="2:2">
      <c r="B1868" s="310"/>
    </row>
    <row r="1869" spans="2:2">
      <c r="B1869" s="310"/>
    </row>
    <row r="1870" spans="2:2">
      <c r="B1870" s="310"/>
    </row>
    <row r="1871" spans="2:2">
      <c r="B1871" s="310"/>
    </row>
    <row r="1872" spans="2:2">
      <c r="B1872" s="310"/>
    </row>
    <row r="1873" spans="2:2">
      <c r="B1873" s="310"/>
    </row>
    <row r="1874" spans="2:2">
      <c r="B1874" s="310"/>
    </row>
    <row r="1875" spans="2:2">
      <c r="B1875" s="310"/>
    </row>
    <row r="1876" spans="2:2">
      <c r="B1876" s="310"/>
    </row>
    <row r="1877" spans="2:2">
      <c r="B1877" s="310"/>
    </row>
    <row r="1878" spans="2:2">
      <c r="B1878" s="310"/>
    </row>
    <row r="1879" spans="2:2">
      <c r="B1879" s="310"/>
    </row>
    <row r="1880" spans="2:2">
      <c r="B1880" s="310"/>
    </row>
    <row r="1881" spans="2:2">
      <c r="B1881" s="310"/>
    </row>
    <row r="1882" spans="2:2">
      <c r="B1882" s="310"/>
    </row>
    <row r="1883" spans="2:2">
      <c r="B1883" s="310"/>
    </row>
    <row r="1884" spans="2:2">
      <c r="B1884" s="310"/>
    </row>
    <row r="1885" spans="2:2">
      <c r="B1885" s="310"/>
    </row>
    <row r="1886" spans="2:2">
      <c r="B1886" s="310"/>
    </row>
    <row r="1887" spans="2:2">
      <c r="B1887" s="310"/>
    </row>
    <row r="1888" spans="2:2">
      <c r="B1888" s="310"/>
    </row>
    <row r="1889" spans="2:2">
      <c r="B1889" s="310"/>
    </row>
    <row r="1890" spans="2:2">
      <c r="B1890" s="310"/>
    </row>
    <row r="1891" spans="2:2">
      <c r="B1891" s="310"/>
    </row>
    <row r="1892" spans="2:2">
      <c r="B1892" s="310"/>
    </row>
    <row r="1893" spans="2:2">
      <c r="B1893" s="310"/>
    </row>
    <row r="1894" spans="2:2">
      <c r="B1894" s="310"/>
    </row>
    <row r="1895" spans="2:2">
      <c r="B1895" s="310"/>
    </row>
    <row r="1896" spans="2:2">
      <c r="B1896" s="310"/>
    </row>
    <row r="1897" spans="2:2">
      <c r="B1897" s="310"/>
    </row>
    <row r="1898" spans="2:2">
      <c r="B1898" s="310"/>
    </row>
    <row r="1899" spans="2:2">
      <c r="B1899" s="310"/>
    </row>
    <row r="1900" spans="2:2">
      <c r="B1900" s="310"/>
    </row>
    <row r="1901" spans="2:2">
      <c r="B1901" s="310"/>
    </row>
    <row r="1902" spans="2:2">
      <c r="B1902" s="310"/>
    </row>
    <row r="1903" spans="2:2">
      <c r="B1903" s="310"/>
    </row>
    <row r="1904" spans="2:2">
      <c r="B1904" s="310"/>
    </row>
    <row r="1905" spans="2:2">
      <c r="B1905" s="310"/>
    </row>
    <row r="1906" spans="2:2">
      <c r="B1906" s="310"/>
    </row>
    <row r="1907" spans="2:2">
      <c r="B1907" s="310"/>
    </row>
    <row r="1908" spans="2:2">
      <c r="B1908" s="310"/>
    </row>
    <row r="1909" spans="2:2">
      <c r="B1909" s="310"/>
    </row>
    <row r="1910" spans="2:2">
      <c r="B1910" s="310"/>
    </row>
    <row r="1911" spans="2:2">
      <c r="B1911" s="310"/>
    </row>
    <row r="1912" spans="2:2">
      <c r="B1912" s="310"/>
    </row>
    <row r="1913" spans="2:2">
      <c r="B1913" s="310"/>
    </row>
    <row r="1914" spans="2:2">
      <c r="B1914" s="310"/>
    </row>
    <row r="1915" spans="2:2">
      <c r="B1915" s="310"/>
    </row>
    <row r="1916" spans="2:2">
      <c r="B1916" s="310"/>
    </row>
    <row r="1917" spans="2:2">
      <c r="B1917" s="310"/>
    </row>
    <row r="1918" spans="2:2">
      <c r="B1918" s="310"/>
    </row>
    <row r="1919" spans="2:2">
      <c r="B1919" s="310"/>
    </row>
    <row r="1920" spans="2:2">
      <c r="B1920" s="310"/>
    </row>
    <row r="1921" spans="2:2">
      <c r="B1921" s="310"/>
    </row>
    <row r="1922" spans="2:2">
      <c r="B1922" s="310"/>
    </row>
    <row r="1923" spans="2:2">
      <c r="B1923" s="310"/>
    </row>
    <row r="1924" spans="2:2">
      <c r="B1924" s="310"/>
    </row>
    <row r="1925" spans="2:2">
      <c r="B1925" s="310"/>
    </row>
    <row r="1926" spans="2:2">
      <c r="B1926" s="310"/>
    </row>
    <row r="1927" spans="2:2">
      <c r="B1927" s="310"/>
    </row>
    <row r="1928" spans="2:2">
      <c r="B1928" s="310"/>
    </row>
    <row r="1929" spans="2:2">
      <c r="B1929" s="310"/>
    </row>
    <row r="1930" spans="2:2">
      <c r="B1930" s="310"/>
    </row>
    <row r="1931" spans="2:2">
      <c r="B1931" s="310"/>
    </row>
    <row r="1932" spans="2:2">
      <c r="B1932" s="310"/>
    </row>
    <row r="1933" spans="2:2">
      <c r="B1933" s="310"/>
    </row>
    <row r="1934" spans="2:2">
      <c r="B1934" s="310"/>
    </row>
    <row r="1935" spans="2:2">
      <c r="B1935" s="310"/>
    </row>
    <row r="1936" spans="2:2">
      <c r="B1936" s="310"/>
    </row>
    <row r="1937" spans="2:2">
      <c r="B1937" s="310"/>
    </row>
    <row r="1938" spans="2:2">
      <c r="B1938" s="310"/>
    </row>
    <row r="1939" spans="2:2">
      <c r="B1939" s="310"/>
    </row>
    <row r="1940" spans="2:2">
      <c r="B1940" s="310"/>
    </row>
    <row r="1941" spans="2:2">
      <c r="B1941" s="310"/>
    </row>
    <row r="1942" spans="2:2">
      <c r="B1942" s="310"/>
    </row>
    <row r="1943" spans="2:2">
      <c r="B1943" s="310"/>
    </row>
    <row r="1944" spans="2:2">
      <c r="B1944" s="310"/>
    </row>
    <row r="1945" spans="2:2">
      <c r="B1945" s="310"/>
    </row>
    <row r="1946" spans="2:2">
      <c r="B1946" s="310"/>
    </row>
    <row r="1947" spans="2:2">
      <c r="B1947" s="310"/>
    </row>
    <row r="1948" spans="2:2">
      <c r="B1948" s="310"/>
    </row>
    <row r="1949" spans="2:2">
      <c r="B1949" s="310"/>
    </row>
    <row r="1950" spans="2:2">
      <c r="B1950" s="310"/>
    </row>
    <row r="1951" spans="2:2">
      <c r="B1951" s="310"/>
    </row>
    <row r="1952" spans="2:2">
      <c r="B1952" s="310"/>
    </row>
    <row r="1953" spans="2:2">
      <c r="B1953" s="310"/>
    </row>
    <row r="1954" spans="2:2">
      <c r="B1954" s="310"/>
    </row>
    <row r="1955" spans="2:2">
      <c r="B1955" s="310"/>
    </row>
    <row r="1956" spans="2:2">
      <c r="B1956" s="310"/>
    </row>
    <row r="1957" spans="2:2">
      <c r="B1957" s="310"/>
    </row>
    <row r="1958" spans="2:2">
      <c r="B1958" s="310"/>
    </row>
    <row r="1959" spans="2:2">
      <c r="B1959" s="310"/>
    </row>
    <row r="1960" spans="2:2">
      <c r="B1960" s="310"/>
    </row>
    <row r="1961" spans="2:2">
      <c r="B1961" s="310"/>
    </row>
    <row r="1962" spans="2:2">
      <c r="B1962" s="310"/>
    </row>
    <row r="1963" spans="2:2">
      <c r="B1963" s="310"/>
    </row>
    <row r="1964" spans="2:2">
      <c r="B1964" s="310"/>
    </row>
    <row r="1965" spans="2:2">
      <c r="B1965" s="310"/>
    </row>
    <row r="1966" spans="2:2">
      <c r="B1966" s="310"/>
    </row>
    <row r="1967" spans="2:2">
      <c r="B1967" s="310"/>
    </row>
    <row r="1968" spans="2:2">
      <c r="B1968" s="310"/>
    </row>
    <row r="1969" spans="2:2">
      <c r="B1969" s="310"/>
    </row>
    <row r="1970" spans="2:2">
      <c r="B1970" s="310"/>
    </row>
    <row r="1971" spans="2:2">
      <c r="B1971" s="310"/>
    </row>
    <row r="1972" spans="2:2">
      <c r="B1972" s="310"/>
    </row>
    <row r="1973" spans="2:2">
      <c r="B1973" s="310"/>
    </row>
    <row r="1974" spans="2:2">
      <c r="B1974" s="310"/>
    </row>
    <row r="1975" spans="2:2">
      <c r="B1975" s="310"/>
    </row>
    <row r="1976" spans="2:2">
      <c r="B1976" s="310"/>
    </row>
    <row r="1977" spans="2:2">
      <c r="B1977" s="310"/>
    </row>
    <row r="1978" spans="2:2">
      <c r="B1978" s="310"/>
    </row>
    <row r="1979" spans="2:2">
      <c r="B1979" s="310"/>
    </row>
    <row r="1980" spans="2:2">
      <c r="B1980" s="310"/>
    </row>
    <row r="1981" spans="2:2">
      <c r="B1981" s="310"/>
    </row>
    <row r="1982" spans="2:2">
      <c r="B1982" s="310"/>
    </row>
    <row r="1983" spans="2:2">
      <c r="B1983" s="310"/>
    </row>
    <row r="1984" spans="2:2">
      <c r="B1984" s="310"/>
    </row>
    <row r="1985" spans="2:2">
      <c r="B1985" s="310"/>
    </row>
    <row r="1986" spans="2:2">
      <c r="B1986" s="310"/>
    </row>
    <row r="1987" spans="2:2">
      <c r="B1987" s="310"/>
    </row>
    <row r="1988" spans="2:2">
      <c r="B1988" s="310"/>
    </row>
    <row r="1989" spans="2:2">
      <c r="B1989" s="310"/>
    </row>
    <row r="1990" spans="2:2">
      <c r="B1990" s="310"/>
    </row>
    <row r="1991" spans="2:2">
      <c r="B1991" s="310"/>
    </row>
    <row r="1992" spans="2:2">
      <c r="B1992" s="310"/>
    </row>
    <row r="1993" spans="2:2">
      <c r="B1993" s="310"/>
    </row>
    <row r="1994" spans="2:2">
      <c r="B1994" s="310"/>
    </row>
    <row r="1995" spans="2:2">
      <c r="B1995" s="310"/>
    </row>
    <row r="1996" spans="2:2">
      <c r="B1996" s="310"/>
    </row>
    <row r="1997" spans="2:2">
      <c r="B1997" s="310"/>
    </row>
    <row r="1998" spans="2:2">
      <c r="B1998" s="310"/>
    </row>
    <row r="1999" spans="2:2">
      <c r="B1999" s="310"/>
    </row>
    <row r="2000" spans="2:2">
      <c r="B2000" s="310"/>
    </row>
    <row r="2001" spans="2:2">
      <c r="B2001" s="310"/>
    </row>
    <row r="2002" spans="2:2">
      <c r="B2002" s="310"/>
    </row>
    <row r="2003" spans="2:2">
      <c r="B2003" s="310"/>
    </row>
    <row r="2004" spans="2:2">
      <c r="B2004" s="310"/>
    </row>
    <row r="2005" spans="2:2">
      <c r="B2005" s="310"/>
    </row>
    <row r="2006" spans="2:2">
      <c r="B2006" s="310"/>
    </row>
    <row r="2007" spans="2:2">
      <c r="B2007" s="310"/>
    </row>
    <row r="2008" spans="2:2">
      <c r="B2008" s="310"/>
    </row>
    <row r="2009" spans="2:2">
      <c r="B2009" s="310"/>
    </row>
    <row r="2010" spans="2:2">
      <c r="B2010" s="310"/>
    </row>
    <row r="2011" spans="2:2">
      <c r="B2011" s="310"/>
    </row>
    <row r="2012" spans="2:2">
      <c r="B2012" s="310"/>
    </row>
    <row r="2013" spans="2:2">
      <c r="B2013" s="310"/>
    </row>
    <row r="2014" spans="2:2">
      <c r="B2014" s="310"/>
    </row>
    <row r="2015" spans="2:2">
      <c r="B2015" s="310"/>
    </row>
    <row r="2016" spans="2:2">
      <c r="B2016" s="310"/>
    </row>
    <row r="2017" spans="2:2">
      <c r="B2017" s="310"/>
    </row>
    <row r="2018" spans="2:2">
      <c r="B2018" s="310"/>
    </row>
    <row r="2019" spans="2:2">
      <c r="B2019" s="310"/>
    </row>
    <row r="2020" spans="2:2">
      <c r="B2020" s="310"/>
    </row>
    <row r="2021" spans="2:2">
      <c r="B2021" s="310"/>
    </row>
    <row r="2022" spans="2:2">
      <c r="B2022" s="310"/>
    </row>
    <row r="2023" spans="2:2">
      <c r="B2023" s="310"/>
    </row>
    <row r="2024" spans="2:2">
      <c r="B2024" s="310"/>
    </row>
    <row r="2025" spans="2:2">
      <c r="B2025" s="310"/>
    </row>
    <row r="2026" spans="2:2">
      <c r="B2026" s="310"/>
    </row>
    <row r="2027" spans="2:2">
      <c r="B2027" s="310"/>
    </row>
    <row r="2028" spans="2:2">
      <c r="B2028" s="310"/>
    </row>
    <row r="2029" spans="2:2">
      <c r="B2029" s="310"/>
    </row>
    <row r="2030" spans="2:2">
      <c r="B2030" s="310"/>
    </row>
    <row r="2031" spans="2:2">
      <c r="B2031" s="310"/>
    </row>
    <row r="2032" spans="2:2">
      <c r="B2032" s="310"/>
    </row>
    <row r="2033" spans="2:2">
      <c r="B2033" s="310"/>
    </row>
    <row r="2034" spans="2:2">
      <c r="B2034" s="310"/>
    </row>
    <row r="2035" spans="2:2">
      <c r="B2035" s="310"/>
    </row>
    <row r="2036" spans="2:2">
      <c r="B2036" s="310"/>
    </row>
    <row r="2037" spans="2:2">
      <c r="B2037" s="310"/>
    </row>
    <row r="2038" spans="2:2">
      <c r="B2038" s="310"/>
    </row>
    <row r="2039" spans="2:2">
      <c r="B2039" s="310"/>
    </row>
    <row r="2040" spans="2:2">
      <c r="B2040" s="310"/>
    </row>
    <row r="2041" spans="2:2">
      <c r="B2041" s="310"/>
    </row>
    <row r="2042" spans="2:2">
      <c r="B2042" s="310"/>
    </row>
    <row r="2043" spans="2:2">
      <c r="B2043" s="310"/>
    </row>
    <row r="2044" spans="2:2">
      <c r="B2044" s="310"/>
    </row>
    <row r="2045" spans="2:2">
      <c r="B2045" s="310"/>
    </row>
    <row r="2046" spans="2:2">
      <c r="B2046" s="310"/>
    </row>
    <row r="2047" spans="2:2">
      <c r="B2047" s="310"/>
    </row>
    <row r="2048" spans="2:2">
      <c r="B2048" s="310"/>
    </row>
    <row r="2049" spans="2:2">
      <c r="B2049" s="310"/>
    </row>
    <row r="2050" spans="2:2">
      <c r="B2050" s="310"/>
    </row>
    <row r="2051" spans="2:2">
      <c r="B2051" s="310"/>
    </row>
    <row r="2052" spans="2:2">
      <c r="B2052" s="310"/>
    </row>
    <row r="2053" spans="2:2">
      <c r="B2053" s="310"/>
    </row>
    <row r="2054" spans="2:2">
      <c r="B2054" s="310"/>
    </row>
    <row r="2055" spans="2:2">
      <c r="B2055" s="310"/>
    </row>
    <row r="2056" spans="2:2">
      <c r="B2056" s="310"/>
    </row>
    <row r="2057" spans="2:2">
      <c r="B2057" s="310"/>
    </row>
    <row r="2058" spans="2:2">
      <c r="B2058" s="310"/>
    </row>
    <row r="2059" spans="2:2">
      <c r="B2059" s="310"/>
    </row>
    <row r="2060" spans="2:2">
      <c r="B2060" s="310"/>
    </row>
    <row r="2061" spans="2:2">
      <c r="B2061" s="310"/>
    </row>
    <row r="2062" spans="2:2">
      <c r="B2062" s="310"/>
    </row>
    <row r="2063" spans="2:2">
      <c r="B2063" s="310"/>
    </row>
    <row r="2064" spans="2:2">
      <c r="B2064" s="310"/>
    </row>
    <row r="2065" spans="2:2">
      <c r="B2065" s="310"/>
    </row>
    <row r="2066" spans="2:2">
      <c r="B2066" s="310"/>
    </row>
    <row r="2067" spans="2:2">
      <c r="B2067" s="310"/>
    </row>
    <row r="2068" spans="2:2">
      <c r="B2068" s="310"/>
    </row>
    <row r="2069" spans="2:2">
      <c r="B2069" s="310"/>
    </row>
    <row r="2070" spans="2:2">
      <c r="B2070" s="310"/>
    </row>
    <row r="2071" spans="2:2">
      <c r="B2071" s="310"/>
    </row>
    <row r="2072" spans="2:2">
      <c r="B2072" s="310"/>
    </row>
    <row r="2073" spans="2:2">
      <c r="B2073" s="310"/>
    </row>
    <row r="2074" spans="2:2">
      <c r="B2074" s="310"/>
    </row>
    <row r="2075" spans="2:2">
      <c r="B2075" s="310"/>
    </row>
    <row r="2076" spans="2:2">
      <c r="B2076" s="310"/>
    </row>
    <row r="2077" spans="2:2">
      <c r="B2077" s="310"/>
    </row>
    <row r="2078" spans="2:2">
      <c r="B2078" s="310"/>
    </row>
    <row r="2079" spans="2:2">
      <c r="B2079" s="310"/>
    </row>
    <row r="2080" spans="2:2">
      <c r="B2080" s="310"/>
    </row>
    <row r="2081" spans="2:2">
      <c r="B2081" s="310"/>
    </row>
    <row r="2082" spans="2:2">
      <c r="B2082" s="310"/>
    </row>
    <row r="2083" spans="2:2">
      <c r="B2083" s="310"/>
    </row>
    <row r="2084" spans="2:2">
      <c r="B2084" s="310"/>
    </row>
    <row r="2085" spans="2:2">
      <c r="B2085" s="310"/>
    </row>
    <row r="2086" spans="2:2">
      <c r="B2086" s="310"/>
    </row>
    <row r="2087" spans="2:2">
      <c r="B2087" s="310"/>
    </row>
    <row r="2088" spans="2:2">
      <c r="B2088" s="310"/>
    </row>
    <row r="2089" spans="2:2">
      <c r="B2089" s="310"/>
    </row>
    <row r="2090" spans="2:2">
      <c r="B2090" s="310"/>
    </row>
    <row r="2091" spans="2:2">
      <c r="B2091" s="310"/>
    </row>
    <row r="2092" spans="2:2">
      <c r="B2092" s="310"/>
    </row>
    <row r="2093" spans="2:2">
      <c r="B2093" s="310"/>
    </row>
    <row r="2094" spans="2:2">
      <c r="B2094" s="310"/>
    </row>
    <row r="2095" spans="2:2">
      <c r="B2095" s="310"/>
    </row>
    <row r="2096" spans="2:2">
      <c r="B2096" s="310"/>
    </row>
    <row r="2097" spans="2:2">
      <c r="B2097" s="310"/>
    </row>
    <row r="2098" spans="2:2">
      <c r="B2098" s="310"/>
    </row>
    <row r="2099" spans="2:2">
      <c r="B2099" s="310"/>
    </row>
    <row r="2100" spans="2:2">
      <c r="B2100" s="310"/>
    </row>
    <row r="2101" spans="2:2">
      <c r="B2101" s="310"/>
    </row>
    <row r="2102" spans="2:2">
      <c r="B2102" s="310"/>
    </row>
    <row r="2103" spans="2:2">
      <c r="B2103" s="310"/>
    </row>
    <row r="2104" spans="2:2">
      <c r="B2104" s="310"/>
    </row>
    <row r="2105" spans="2:2">
      <c r="B2105" s="310"/>
    </row>
    <row r="2106" spans="2:2">
      <c r="B2106" s="310"/>
    </row>
    <row r="2107" spans="2:2">
      <c r="B2107" s="310"/>
    </row>
    <row r="2108" spans="2:2">
      <c r="B2108" s="310"/>
    </row>
    <row r="2109" spans="2:2">
      <c r="B2109" s="310"/>
    </row>
    <row r="2110" spans="2:2">
      <c r="B2110" s="310"/>
    </row>
    <row r="2111" spans="2:2">
      <c r="B2111" s="310"/>
    </row>
    <row r="2112" spans="2:2">
      <c r="B2112" s="310"/>
    </row>
    <row r="2113" spans="2:2">
      <c r="B2113" s="310"/>
    </row>
    <row r="2114" spans="2:2">
      <c r="B2114" s="310"/>
    </row>
    <row r="2115" spans="2:2">
      <c r="B2115" s="310"/>
    </row>
    <row r="2116" spans="2:2">
      <c r="B2116" s="310"/>
    </row>
    <row r="2117" spans="2:2">
      <c r="B2117" s="310"/>
    </row>
    <row r="2118" spans="2:2">
      <c r="B2118" s="310"/>
    </row>
    <row r="2119" spans="2:2">
      <c r="B2119" s="310"/>
    </row>
    <row r="2120" spans="2:2">
      <c r="B2120" s="310"/>
    </row>
    <row r="2121" spans="2:2">
      <c r="B2121" s="310"/>
    </row>
    <row r="2122" spans="2:2">
      <c r="B2122" s="310"/>
    </row>
    <row r="2123" spans="2:2">
      <c r="B2123" s="310"/>
    </row>
    <row r="2124" spans="2:2">
      <c r="B2124" s="310"/>
    </row>
    <row r="2125" spans="2:2">
      <c r="B2125" s="310"/>
    </row>
    <row r="2126" spans="2:2">
      <c r="B2126" s="310"/>
    </row>
    <row r="2127" spans="2:2">
      <c r="B2127" s="310"/>
    </row>
    <row r="2128" spans="2:2">
      <c r="B2128" s="310"/>
    </row>
    <row r="2129" spans="2:2">
      <c r="B2129" s="310"/>
    </row>
    <row r="2130" spans="2:2">
      <c r="B2130" s="310"/>
    </row>
    <row r="2131" spans="2:2">
      <c r="B2131" s="310"/>
    </row>
    <row r="2132" spans="2:2">
      <c r="B2132" s="310"/>
    </row>
    <row r="2133" spans="2:2">
      <c r="B2133" s="310"/>
    </row>
    <row r="2134" spans="2:2">
      <c r="B2134" s="310"/>
    </row>
    <row r="2135" spans="2:2">
      <c r="B2135" s="310"/>
    </row>
    <row r="2136" spans="2:2">
      <c r="B2136" s="310"/>
    </row>
    <row r="2137" spans="2:2">
      <c r="B2137" s="310"/>
    </row>
    <row r="2138" spans="2:2">
      <c r="B2138" s="310"/>
    </row>
    <row r="2139" spans="2:2">
      <c r="B2139" s="310"/>
    </row>
    <row r="2140" spans="2:2">
      <c r="B2140" s="310"/>
    </row>
    <row r="2141" spans="2:2">
      <c r="B2141" s="310"/>
    </row>
    <row r="2142" spans="2:2">
      <c r="B2142" s="310"/>
    </row>
    <row r="2143" spans="2:2">
      <c r="B2143" s="310"/>
    </row>
    <row r="2144" spans="2:2">
      <c r="B2144" s="310"/>
    </row>
    <row r="2145" spans="2:2">
      <c r="B2145" s="310"/>
    </row>
    <row r="2146" spans="2:2">
      <c r="B2146" s="310"/>
    </row>
    <row r="2147" spans="2:2">
      <c r="B2147" s="310"/>
    </row>
    <row r="2148" spans="2:2">
      <c r="B2148" s="310"/>
    </row>
    <row r="2149" spans="2:2">
      <c r="B2149" s="310"/>
    </row>
    <row r="2150" spans="2:2">
      <c r="B2150" s="310"/>
    </row>
    <row r="2151" spans="2:2">
      <c r="B2151" s="310"/>
    </row>
    <row r="2152" spans="2:2">
      <c r="B2152" s="310"/>
    </row>
    <row r="2153" spans="2:2">
      <c r="B2153" s="310"/>
    </row>
    <row r="2154" spans="2:2">
      <c r="B2154" s="310"/>
    </row>
    <row r="2155" spans="2:2">
      <c r="B2155" s="310"/>
    </row>
    <row r="2156" spans="2:2">
      <c r="B2156" s="310"/>
    </row>
    <row r="2157" spans="2:2">
      <c r="B2157" s="310"/>
    </row>
    <row r="2158" spans="2:2">
      <c r="B2158" s="310"/>
    </row>
    <row r="2159" spans="2:2">
      <c r="B2159" s="310"/>
    </row>
    <row r="2160" spans="2:2">
      <c r="B2160" s="310"/>
    </row>
    <row r="2161" spans="2:2">
      <c r="B2161" s="310"/>
    </row>
    <row r="2162" spans="2:2">
      <c r="B2162" s="310"/>
    </row>
    <row r="2163" spans="2:2">
      <c r="B2163" s="310"/>
    </row>
    <row r="2164" spans="2:2">
      <c r="B2164" s="310"/>
    </row>
    <row r="2165" spans="2:2">
      <c r="B2165" s="310"/>
    </row>
  </sheetData>
  <mergeCells count="4">
    <mergeCell ref="A17:A18"/>
    <mergeCell ref="B17:B18"/>
    <mergeCell ref="C17:C18"/>
    <mergeCell ref="D17:D18"/>
  </mergeCells>
  <pageMargins left="0.7" right="0.7" top="0.75" bottom="0.75" header="0.3" footer="0.3"/>
  <pageSetup paperSize="9" orientation="portrait" verticalDpi="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36"/>
  <sheetViews>
    <sheetView topLeftCell="A31" workbookViewId="0">
      <selection activeCell="D59" sqref="D59"/>
    </sheetView>
  </sheetViews>
  <sheetFormatPr defaultColWidth="9.109375" defaultRowHeight="13.2"/>
  <cols>
    <col min="1" max="1" width="5.6640625" style="54" customWidth="1"/>
    <col min="2" max="2" width="25.6640625" style="31" customWidth="1"/>
    <col min="3" max="3" width="7.6640625" style="57" customWidth="1"/>
    <col min="4" max="4" width="8.109375" style="57" customWidth="1"/>
    <col min="5" max="5" width="8.33203125" style="57" customWidth="1"/>
    <col min="6" max="6" width="12.5546875" style="57" customWidth="1"/>
    <col min="7" max="7" width="9.88671875" style="74" customWidth="1"/>
    <col min="8" max="8" width="5.88671875" style="57" customWidth="1"/>
    <col min="9" max="16384" width="9.109375" style="31"/>
  </cols>
  <sheetData>
    <row r="1" spans="1:8" ht="13.8">
      <c r="A1" s="104"/>
      <c r="B1" s="15" t="s">
        <v>595</v>
      </c>
      <c r="C1" s="4"/>
    </row>
    <row r="2" spans="1:8" ht="13.8">
      <c r="A2" s="104"/>
      <c r="B2" s="15"/>
      <c r="C2" s="4"/>
    </row>
    <row r="3" spans="1:8" ht="13.8">
      <c r="A3" s="77" t="s">
        <v>0</v>
      </c>
      <c r="B3" s="78" t="s">
        <v>1</v>
      </c>
      <c r="C3" s="78" t="s">
        <v>2</v>
      </c>
      <c r="D3" s="78" t="s">
        <v>3</v>
      </c>
      <c r="E3" s="78" t="s">
        <v>4</v>
      </c>
      <c r="F3" s="78" t="s">
        <v>5</v>
      </c>
      <c r="G3" s="78" t="s">
        <v>6</v>
      </c>
      <c r="H3" s="78" t="s">
        <v>7</v>
      </c>
    </row>
    <row r="4" spans="1:8" ht="13.8">
      <c r="A4" s="29"/>
      <c r="B4" s="20"/>
      <c r="C4" s="1"/>
      <c r="D4" s="1"/>
      <c r="E4" s="1"/>
      <c r="F4" s="1"/>
      <c r="G4" s="46"/>
      <c r="H4" s="1"/>
    </row>
    <row r="5" spans="1:8" ht="13.8">
      <c r="A5" s="29"/>
      <c r="B5" s="20" t="s">
        <v>360</v>
      </c>
      <c r="C5" s="1"/>
      <c r="D5" s="1"/>
      <c r="E5" s="1"/>
      <c r="F5" s="1"/>
      <c r="G5" s="64">
        <v>990</v>
      </c>
      <c r="H5" s="106" t="s">
        <v>17</v>
      </c>
    </row>
    <row r="6" spans="1:8" ht="13.8">
      <c r="A6" s="29"/>
      <c r="B6" s="20"/>
      <c r="C6" s="1"/>
      <c r="D6" s="1"/>
      <c r="E6" s="1"/>
      <c r="F6" s="1"/>
      <c r="G6" s="46"/>
      <c r="H6" s="1"/>
    </row>
    <row r="7" spans="1:8" ht="13.8">
      <c r="A7" s="29"/>
      <c r="B7" s="20" t="s">
        <v>361</v>
      </c>
      <c r="C7" s="1"/>
      <c r="D7" s="1"/>
      <c r="E7" s="1"/>
      <c r="F7" s="1"/>
      <c r="G7" s="64">
        <v>90</v>
      </c>
      <c r="H7" s="65" t="s">
        <v>17</v>
      </c>
    </row>
    <row r="8" spans="1:8" ht="13.8">
      <c r="A8" s="29"/>
      <c r="B8" s="46"/>
      <c r="C8" s="1"/>
      <c r="D8" s="5"/>
      <c r="E8" s="5"/>
      <c r="G8" s="2"/>
      <c r="H8" s="1"/>
    </row>
    <row r="9" spans="1:8" ht="13.8">
      <c r="A9" s="29"/>
      <c r="B9" s="20"/>
      <c r="C9" s="1"/>
      <c r="D9" s="5"/>
      <c r="E9" s="1"/>
      <c r="F9" s="1"/>
      <c r="G9" s="31"/>
      <c r="H9" s="31"/>
    </row>
    <row r="10" spans="1:8" ht="13.8">
      <c r="A10" s="29"/>
      <c r="B10" s="20" t="s">
        <v>362</v>
      </c>
      <c r="C10" s="1"/>
      <c r="D10" s="1"/>
      <c r="E10" s="1"/>
      <c r="F10" s="1"/>
      <c r="G10" s="2"/>
      <c r="H10" s="1"/>
    </row>
    <row r="11" spans="1:8" ht="13.8">
      <c r="A11" s="29"/>
      <c r="B11" s="20"/>
      <c r="C11" s="1">
        <v>1</v>
      </c>
      <c r="D11" s="5">
        <f>G5-G7</f>
        <v>900</v>
      </c>
      <c r="E11" s="1" t="s">
        <v>17</v>
      </c>
      <c r="G11" s="2">
        <f>C11*D11</f>
        <v>900</v>
      </c>
      <c r="H11" s="1" t="s">
        <v>17</v>
      </c>
    </row>
    <row r="12" spans="1:8" ht="13.8">
      <c r="A12" s="29"/>
      <c r="B12" s="20"/>
      <c r="C12" s="1"/>
      <c r="D12" s="1"/>
      <c r="E12" s="1"/>
      <c r="F12" s="1"/>
      <c r="G12" s="64">
        <f>ROUNDUP(G11,0)</f>
        <v>900</v>
      </c>
      <c r="H12" s="65" t="s">
        <v>17</v>
      </c>
    </row>
    <row r="13" spans="1:8" ht="13.8">
      <c r="A13" s="29"/>
      <c r="B13" s="44"/>
      <c r="C13" s="1"/>
      <c r="D13" s="1"/>
      <c r="E13" s="1"/>
      <c r="F13" s="1"/>
      <c r="G13" s="46"/>
      <c r="H13" s="1"/>
    </row>
    <row r="14" spans="1:8" ht="13.8">
      <c r="A14" s="18">
        <v>1</v>
      </c>
      <c r="B14" s="6" t="s">
        <v>363</v>
      </c>
      <c r="C14" s="1"/>
      <c r="D14" s="1"/>
      <c r="E14" s="1"/>
      <c r="F14" s="1"/>
      <c r="G14" s="46"/>
      <c r="H14" s="1"/>
    </row>
    <row r="15" spans="1:8" ht="13.8">
      <c r="B15" s="46" t="s">
        <v>364</v>
      </c>
      <c r="C15" s="1">
        <v>1</v>
      </c>
      <c r="D15" s="5">
        <v>320</v>
      </c>
      <c r="E15" s="5">
        <v>1</v>
      </c>
      <c r="F15" s="5">
        <v>0.6</v>
      </c>
      <c r="G15" s="2">
        <f>C15*D15*E15*F15</f>
        <v>192</v>
      </c>
      <c r="H15" s="1" t="s">
        <v>12</v>
      </c>
    </row>
    <row r="16" spans="1:8" ht="13.8">
      <c r="B16" s="46" t="s">
        <v>365</v>
      </c>
      <c r="C16" s="1">
        <v>1</v>
      </c>
      <c r="D16" s="5">
        <v>230</v>
      </c>
      <c r="E16" s="5">
        <v>1</v>
      </c>
      <c r="F16" s="5">
        <v>0.75</v>
      </c>
      <c r="G16" s="2">
        <f>C16*D16*E16*F16</f>
        <v>172.5</v>
      </c>
      <c r="H16" s="1" t="s">
        <v>10</v>
      </c>
    </row>
    <row r="17" spans="1:8" ht="13.8">
      <c r="B17" s="46"/>
      <c r="C17" s="1"/>
      <c r="D17" s="5"/>
      <c r="E17" s="5"/>
      <c r="F17" s="5"/>
      <c r="G17" s="2"/>
      <c r="H17" s="1"/>
    </row>
    <row r="18" spans="1:8" ht="13.8">
      <c r="B18" s="46"/>
      <c r="C18" s="1"/>
      <c r="D18" s="5"/>
      <c r="E18" s="5"/>
      <c r="F18" s="107" t="s">
        <v>11</v>
      </c>
      <c r="G18" s="53">
        <f>SUM(G15:G17)</f>
        <v>364.5</v>
      </c>
      <c r="H18" s="50" t="s">
        <v>12</v>
      </c>
    </row>
    <row r="19" spans="1:8" ht="13.8">
      <c r="A19" s="29"/>
      <c r="B19" s="44"/>
      <c r="C19" s="1"/>
      <c r="D19" s="1"/>
      <c r="E19" s="1"/>
      <c r="F19" s="63" t="s">
        <v>13</v>
      </c>
      <c r="G19" s="27">
        <f>ROUNDUP(G18,0)</f>
        <v>365</v>
      </c>
      <c r="H19" s="65" t="s">
        <v>12</v>
      </c>
    </row>
    <row r="20" spans="1:8" ht="13.8">
      <c r="A20" s="29"/>
      <c r="B20" s="44"/>
      <c r="C20" s="1"/>
      <c r="D20" s="1"/>
      <c r="E20" s="1"/>
      <c r="F20" s="108"/>
      <c r="G20" s="33"/>
      <c r="H20" s="73"/>
    </row>
    <row r="21" spans="1:8" ht="13.8">
      <c r="A21" s="29">
        <f>A14+1</f>
        <v>2</v>
      </c>
      <c r="B21" s="8" t="s">
        <v>366</v>
      </c>
      <c r="C21" s="46"/>
      <c r="D21" s="46"/>
      <c r="E21" s="46"/>
      <c r="F21" s="46"/>
      <c r="G21" s="33">
        <f>G19</f>
        <v>365</v>
      </c>
      <c r="H21" s="24" t="s">
        <v>12</v>
      </c>
    </row>
    <row r="22" spans="1:8" ht="13.8">
      <c r="A22" s="29"/>
      <c r="B22" s="44"/>
      <c r="C22" s="1"/>
      <c r="D22" s="1"/>
      <c r="E22" s="1"/>
      <c r="F22" s="108"/>
      <c r="G22" s="33"/>
      <c r="H22" s="73"/>
    </row>
    <row r="23" spans="1:8" ht="13.8">
      <c r="A23" s="18">
        <f>A21+1</f>
        <v>3</v>
      </c>
      <c r="B23" s="8" t="s">
        <v>367</v>
      </c>
      <c r="C23" s="1"/>
      <c r="D23" s="1"/>
      <c r="E23" s="1"/>
      <c r="F23" s="108"/>
      <c r="G23" s="33"/>
      <c r="H23" s="73"/>
    </row>
    <row r="24" spans="1:8" ht="13.8">
      <c r="A24" s="29"/>
      <c r="B24" s="46"/>
      <c r="C24" s="1">
        <v>1</v>
      </c>
      <c r="D24" s="5">
        <f>G15</f>
        <v>192</v>
      </c>
      <c r="E24" s="1" t="s">
        <v>17</v>
      </c>
      <c r="F24" s="5">
        <v>0.7</v>
      </c>
      <c r="G24" s="2">
        <f>C24*D24*F24</f>
        <v>134.39999999999998</v>
      </c>
      <c r="H24" s="1" t="s">
        <v>9</v>
      </c>
    </row>
    <row r="25" spans="1:8" ht="13.8">
      <c r="A25" s="29"/>
      <c r="B25" s="46" t="s">
        <v>368</v>
      </c>
      <c r="C25" s="1">
        <v>1</v>
      </c>
      <c r="D25" s="5">
        <f>G16</f>
        <v>172.5</v>
      </c>
      <c r="E25" s="1" t="s">
        <v>369</v>
      </c>
      <c r="F25" s="5">
        <v>0.3</v>
      </c>
      <c r="G25" s="2">
        <f>C25*D25*F25</f>
        <v>51.75</v>
      </c>
      <c r="H25" s="1" t="s">
        <v>10</v>
      </c>
    </row>
    <row r="26" spans="1:8" ht="13.8">
      <c r="A26" s="29"/>
      <c r="B26" s="46" t="s">
        <v>370</v>
      </c>
      <c r="C26" s="1">
        <v>1</v>
      </c>
      <c r="D26" s="5">
        <v>3920</v>
      </c>
      <c r="E26" s="1" t="s">
        <v>17</v>
      </c>
      <c r="F26" s="5">
        <v>1.2</v>
      </c>
      <c r="G26" s="2">
        <f>C26*D26*F26</f>
        <v>4704</v>
      </c>
      <c r="H26" s="1" t="s">
        <v>10</v>
      </c>
    </row>
    <row r="27" spans="1:8" ht="13.8">
      <c r="A27" s="29"/>
      <c r="B27" s="44"/>
      <c r="C27" s="1"/>
      <c r="D27" s="1"/>
      <c r="E27" s="1"/>
      <c r="F27" s="108"/>
      <c r="G27" s="33"/>
      <c r="H27" s="73"/>
    </row>
    <row r="28" spans="1:8" ht="13.8">
      <c r="A28" s="29"/>
      <c r="B28" s="44"/>
      <c r="C28" s="1"/>
      <c r="D28" s="1"/>
      <c r="E28" s="1"/>
      <c r="F28" s="107" t="s">
        <v>11</v>
      </c>
      <c r="G28" s="53">
        <f>SUM(G24:G27)</f>
        <v>4890.1499999999996</v>
      </c>
      <c r="H28" s="50" t="s">
        <v>12</v>
      </c>
    </row>
    <row r="29" spans="1:8" ht="13.8">
      <c r="A29" s="29"/>
      <c r="B29" s="44"/>
      <c r="C29" s="1"/>
      <c r="D29" s="1"/>
      <c r="E29" s="1"/>
      <c r="F29" s="63" t="s">
        <v>13</v>
      </c>
      <c r="G29" s="27">
        <f>ROUNDUP(G28,0)</f>
        <v>4891</v>
      </c>
      <c r="H29" s="65" t="s">
        <v>12</v>
      </c>
    </row>
    <row r="30" spans="1:8" ht="13.8">
      <c r="A30" s="29"/>
      <c r="B30" s="44"/>
      <c r="C30" s="1"/>
      <c r="D30" s="1"/>
      <c r="E30" s="1"/>
      <c r="F30" s="108"/>
      <c r="G30" s="33"/>
      <c r="H30" s="73"/>
    </row>
    <row r="31" spans="1:8" ht="13.8">
      <c r="A31" s="18">
        <f>A23+1</f>
        <v>4</v>
      </c>
      <c r="B31" s="6" t="s">
        <v>151</v>
      </c>
      <c r="C31" s="1">
        <v>1</v>
      </c>
      <c r="D31" s="5">
        <f>G7+G12</f>
        <v>990</v>
      </c>
      <c r="E31" s="5" t="s">
        <v>47</v>
      </c>
      <c r="F31" s="5">
        <v>0.3</v>
      </c>
      <c r="G31" s="2">
        <f>C31*D31*F31</f>
        <v>297</v>
      </c>
      <c r="H31" s="1" t="s">
        <v>12</v>
      </c>
    </row>
    <row r="32" spans="1:8" ht="13.8">
      <c r="A32" s="29"/>
      <c r="B32" s="62"/>
      <c r="C32" s="61"/>
      <c r="D32" s="5"/>
      <c r="E32" s="5"/>
      <c r="F32" s="63" t="s">
        <v>13</v>
      </c>
      <c r="G32" s="27">
        <f>ROUNDUP(G31,0)</f>
        <v>297</v>
      </c>
      <c r="H32" s="65" t="s">
        <v>12</v>
      </c>
    </row>
    <row r="33" spans="1:13" ht="13.8">
      <c r="A33" s="29"/>
      <c r="B33" s="62"/>
      <c r="C33" s="61"/>
      <c r="D33" s="5"/>
      <c r="E33" s="5"/>
      <c r="F33" s="108"/>
      <c r="G33" s="72"/>
      <c r="H33" s="73"/>
    </row>
    <row r="34" spans="1:13" ht="13.8">
      <c r="A34" s="18">
        <f>A31+1</f>
        <v>5</v>
      </c>
      <c r="B34" s="6" t="s">
        <v>557</v>
      </c>
      <c r="C34" s="1">
        <v>1</v>
      </c>
      <c r="D34" s="5">
        <f>G5</f>
        <v>990</v>
      </c>
      <c r="E34" s="5" t="s">
        <v>47</v>
      </c>
      <c r="F34" s="5">
        <v>0.3</v>
      </c>
      <c r="G34" s="2">
        <f>C34*D34*F34</f>
        <v>297</v>
      </c>
      <c r="H34" s="48" t="s">
        <v>12</v>
      </c>
    </row>
    <row r="35" spans="1:13" ht="13.8">
      <c r="A35" s="18"/>
      <c r="B35" s="6"/>
      <c r="C35" s="61"/>
      <c r="D35" s="5"/>
      <c r="E35" s="5"/>
      <c r="F35" s="63" t="s">
        <v>13</v>
      </c>
      <c r="G35" s="64">
        <f>ROUNDUP(G34,0)</f>
        <v>297</v>
      </c>
      <c r="H35" s="65" t="s">
        <v>12</v>
      </c>
    </row>
    <row r="36" spans="1:13" ht="13.8">
      <c r="A36" s="18"/>
      <c r="B36" s="62"/>
    </row>
    <row r="37" spans="1:13" ht="13.8">
      <c r="A37" s="18"/>
      <c r="B37" s="62"/>
    </row>
    <row r="38" spans="1:13" ht="13.8">
      <c r="A38" s="18">
        <f>A34+1</f>
        <v>6</v>
      </c>
      <c r="B38" s="6" t="s">
        <v>371</v>
      </c>
      <c r="C38" s="31"/>
      <c r="D38" s="31"/>
      <c r="E38" s="31"/>
      <c r="F38" s="31"/>
      <c r="G38" s="31"/>
      <c r="H38" s="31"/>
    </row>
    <row r="39" spans="1:13" ht="13.8">
      <c r="A39" s="18"/>
      <c r="B39" s="6"/>
      <c r="C39" s="1">
        <v>1</v>
      </c>
      <c r="D39" s="5">
        <f>G7</f>
        <v>90</v>
      </c>
      <c r="E39" s="5" t="s">
        <v>47</v>
      </c>
      <c r="F39" s="5">
        <v>0.1</v>
      </c>
      <c r="G39" s="2">
        <f>C39*D39*F39</f>
        <v>9</v>
      </c>
      <c r="H39" s="48" t="s">
        <v>12</v>
      </c>
    </row>
    <row r="40" spans="1:13" ht="13.8">
      <c r="A40" s="18"/>
      <c r="B40" s="46" t="s">
        <v>364</v>
      </c>
      <c r="C40" s="1">
        <v>1</v>
      </c>
      <c r="D40" s="5">
        <v>320</v>
      </c>
      <c r="E40" s="5">
        <v>1</v>
      </c>
      <c r="F40" s="5">
        <v>0.1</v>
      </c>
      <c r="G40" s="2">
        <f>C40*D40*E40*F40</f>
        <v>32</v>
      </c>
      <c r="H40" s="48" t="s">
        <v>10</v>
      </c>
    </row>
    <row r="41" spans="1:13" ht="13.8">
      <c r="A41" s="18"/>
      <c r="B41" s="46" t="s">
        <v>365</v>
      </c>
      <c r="C41" s="1">
        <v>1</v>
      </c>
      <c r="D41" s="5">
        <v>230</v>
      </c>
      <c r="E41" s="5">
        <v>1</v>
      </c>
      <c r="F41" s="5">
        <v>0.15</v>
      </c>
      <c r="G41" s="2">
        <f>C41*D41*E41*F41</f>
        <v>34.5</v>
      </c>
      <c r="H41" s="48" t="s">
        <v>10</v>
      </c>
    </row>
    <row r="42" spans="1:13" ht="13.8">
      <c r="A42" s="18"/>
      <c r="B42" s="46"/>
      <c r="C42" s="1"/>
      <c r="D42" s="5"/>
      <c r="E42" s="5"/>
      <c r="F42" s="58"/>
      <c r="G42" s="109"/>
      <c r="H42" s="56"/>
    </row>
    <row r="43" spans="1:13" ht="13.8">
      <c r="A43" s="18"/>
      <c r="B43" s="74"/>
      <c r="C43" s="1"/>
      <c r="D43" s="5"/>
      <c r="E43" s="5"/>
      <c r="F43" s="107" t="s">
        <v>23</v>
      </c>
      <c r="G43" s="53">
        <f>SUM(G39:G42)</f>
        <v>75.5</v>
      </c>
      <c r="H43" s="110" t="s">
        <v>12</v>
      </c>
    </row>
    <row r="44" spans="1:13" ht="13.8">
      <c r="A44" s="18"/>
      <c r="B44" s="8"/>
      <c r="C44" s="1"/>
      <c r="D44" s="1"/>
      <c r="E44" s="1"/>
      <c r="F44" s="63" t="s">
        <v>13</v>
      </c>
      <c r="G44" s="64">
        <f>ROUNDUP(G43,0)</f>
        <v>76</v>
      </c>
      <c r="H44" s="65" t="s">
        <v>12</v>
      </c>
      <c r="J44" s="5"/>
      <c r="K44" s="5"/>
      <c r="L44" s="2"/>
      <c r="M44" s="48"/>
    </row>
    <row r="45" spans="1:13" ht="13.8">
      <c r="A45" s="18"/>
      <c r="B45" s="62"/>
      <c r="J45" s="1"/>
      <c r="K45" s="5"/>
      <c r="L45" s="2"/>
      <c r="M45" s="48"/>
    </row>
    <row r="46" spans="1:13" ht="13.8">
      <c r="A46" s="18">
        <f>A38+1</f>
        <v>7</v>
      </c>
      <c r="B46" s="6" t="s">
        <v>372</v>
      </c>
      <c r="C46" s="31"/>
      <c r="D46" s="31"/>
      <c r="E46" s="31"/>
      <c r="F46" s="31"/>
      <c r="G46" s="31"/>
      <c r="H46" s="31"/>
      <c r="J46" s="1"/>
      <c r="K46" s="5"/>
      <c r="L46" s="2"/>
      <c r="M46" s="48"/>
    </row>
    <row r="47" spans="1:13" ht="13.8">
      <c r="A47" s="18"/>
      <c r="B47" s="46" t="s">
        <v>365</v>
      </c>
      <c r="C47" s="1">
        <v>1</v>
      </c>
      <c r="D47" s="5">
        <v>230</v>
      </c>
      <c r="E47" s="5">
        <v>0.45</v>
      </c>
      <c r="F47" s="5">
        <v>0.1</v>
      </c>
      <c r="G47" s="2">
        <f>C47*D47*E47*F47</f>
        <v>10.350000000000001</v>
      </c>
      <c r="H47" s="48" t="s">
        <v>12</v>
      </c>
      <c r="J47" s="1"/>
      <c r="K47" s="5"/>
      <c r="L47" s="2"/>
      <c r="M47" s="48"/>
    </row>
    <row r="48" spans="1:13" ht="13.8">
      <c r="A48" s="18"/>
      <c r="B48" s="8"/>
      <c r="C48" s="1"/>
      <c r="D48" s="1"/>
      <c r="E48" s="1"/>
      <c r="F48" s="63" t="s">
        <v>13</v>
      </c>
      <c r="G48" s="64">
        <f>ROUNDUP(G47,0)</f>
        <v>11</v>
      </c>
      <c r="H48" s="65" t="s">
        <v>12</v>
      </c>
      <c r="J48" s="1"/>
      <c r="K48" s="5"/>
      <c r="L48" s="2"/>
      <c r="M48" s="48"/>
    </row>
    <row r="49" spans="1:13" ht="13.8">
      <c r="A49" s="18"/>
      <c r="B49" s="62"/>
      <c r="J49" s="1"/>
      <c r="K49" s="5"/>
      <c r="L49" s="2"/>
      <c r="M49" s="48"/>
    </row>
    <row r="50" spans="1:13" ht="13.8">
      <c r="A50" s="18"/>
      <c r="B50" s="62"/>
      <c r="K50" s="5"/>
      <c r="L50" s="2"/>
      <c r="M50" s="48"/>
    </row>
    <row r="51" spans="1:13" ht="13.8">
      <c r="A51" s="18">
        <f>A46+1</f>
        <v>8</v>
      </c>
      <c r="B51" s="6" t="s">
        <v>373</v>
      </c>
      <c r="C51" s="61"/>
      <c r="D51" s="5"/>
      <c r="E51" s="5"/>
      <c r="F51" s="5"/>
      <c r="G51" s="2"/>
      <c r="H51" s="48"/>
    </row>
    <row r="52" spans="1:13" ht="13.8">
      <c r="A52" s="18"/>
      <c r="B52" s="62" t="s">
        <v>374</v>
      </c>
      <c r="C52" s="5">
        <f>G69</f>
        <v>14</v>
      </c>
      <c r="D52" s="5" t="s">
        <v>375</v>
      </c>
      <c r="E52" s="5">
        <v>60</v>
      </c>
      <c r="F52" s="5"/>
      <c r="G52" s="2">
        <f>C52*E52</f>
        <v>840</v>
      </c>
      <c r="H52" s="48" t="s">
        <v>24</v>
      </c>
    </row>
    <row r="53" spans="1:13" ht="13.8">
      <c r="A53" s="18"/>
      <c r="B53" s="62" t="s">
        <v>376</v>
      </c>
      <c r="C53" s="5">
        <f>G78</f>
        <v>58</v>
      </c>
      <c r="D53" s="5" t="s">
        <v>375</v>
      </c>
      <c r="E53" s="5">
        <v>100</v>
      </c>
      <c r="F53" s="5"/>
      <c r="G53" s="2">
        <f>C53*E53</f>
        <v>5800</v>
      </c>
      <c r="H53" s="48" t="s">
        <v>10</v>
      </c>
    </row>
    <row r="54" spans="1:13" ht="13.8">
      <c r="A54" s="18"/>
      <c r="B54" s="62"/>
      <c r="C54" s="61"/>
      <c r="D54" s="5"/>
      <c r="E54" s="5"/>
      <c r="F54" s="5"/>
      <c r="G54" s="2"/>
      <c r="H54" s="48"/>
    </row>
    <row r="55" spans="1:13" ht="13.8">
      <c r="A55" s="18"/>
      <c r="B55" s="62"/>
      <c r="C55" s="61"/>
      <c r="D55" s="5"/>
      <c r="E55" s="5"/>
      <c r="F55" s="107" t="s">
        <v>23</v>
      </c>
      <c r="G55" s="53">
        <f>SUM(G52:G54)</f>
        <v>6640</v>
      </c>
      <c r="H55" s="110" t="s">
        <v>24</v>
      </c>
    </row>
    <row r="56" spans="1:13" ht="13.8">
      <c r="A56" s="18"/>
      <c r="B56" s="62"/>
      <c r="C56" s="61"/>
      <c r="D56" s="5"/>
      <c r="E56" s="5"/>
      <c r="F56" s="63" t="s">
        <v>13</v>
      </c>
      <c r="G56" s="64">
        <f>ROUNDUP(G55,0)</f>
        <v>6640</v>
      </c>
      <c r="H56" s="65" t="s">
        <v>61</v>
      </c>
    </row>
    <row r="57" spans="1:13" ht="13.8">
      <c r="A57" s="18"/>
      <c r="B57" s="62"/>
      <c r="C57" s="61"/>
      <c r="D57" s="5"/>
      <c r="E57" s="5"/>
      <c r="F57" s="5"/>
      <c r="G57" s="2"/>
      <c r="H57" s="48"/>
    </row>
    <row r="58" spans="1:13" ht="13.8">
      <c r="A58" s="18">
        <f>A51+1</f>
        <v>9</v>
      </c>
      <c r="B58" s="6" t="s">
        <v>377</v>
      </c>
      <c r="C58" s="31"/>
      <c r="D58" s="31"/>
      <c r="E58" s="31"/>
      <c r="F58" s="31"/>
      <c r="G58" s="31"/>
      <c r="H58" s="31"/>
    </row>
    <row r="59" spans="1:13" ht="13.8">
      <c r="A59" s="18"/>
      <c r="B59" s="6"/>
      <c r="C59" s="1">
        <v>1</v>
      </c>
      <c r="D59" s="5">
        <v>230</v>
      </c>
      <c r="E59" s="68">
        <v>0.75</v>
      </c>
      <c r="F59" s="68">
        <v>0.6</v>
      </c>
      <c r="G59" s="2">
        <f>C59*D59*E59*F59</f>
        <v>103.5</v>
      </c>
      <c r="H59" s="48" t="s">
        <v>12</v>
      </c>
    </row>
    <row r="60" spans="1:13" ht="13.8">
      <c r="A60" s="18"/>
      <c r="B60" s="46"/>
      <c r="C60" s="1">
        <v>1</v>
      </c>
      <c r="D60" s="5">
        <v>230</v>
      </c>
      <c r="E60" s="68">
        <v>0.6</v>
      </c>
      <c r="F60" s="68">
        <v>0.375</v>
      </c>
      <c r="G60" s="2">
        <f>C60*D60*E60*F60</f>
        <v>51.75</v>
      </c>
      <c r="H60" s="48" t="s">
        <v>10</v>
      </c>
    </row>
    <row r="61" spans="1:13" ht="13.8">
      <c r="A61" s="18"/>
      <c r="B61" s="46"/>
      <c r="C61" s="1">
        <v>1</v>
      </c>
      <c r="D61" s="5">
        <v>230</v>
      </c>
      <c r="E61" s="68">
        <v>0.52500000000000002</v>
      </c>
      <c r="F61" s="68">
        <v>0.375</v>
      </c>
      <c r="G61" s="2">
        <f>C61*D61*E61*F61</f>
        <v>45.28125</v>
      </c>
      <c r="H61" s="48" t="s">
        <v>10</v>
      </c>
    </row>
    <row r="62" spans="1:13" ht="13.8">
      <c r="A62" s="18"/>
      <c r="B62" s="46"/>
      <c r="C62" s="1">
        <v>1</v>
      </c>
      <c r="D62" s="5">
        <v>230</v>
      </c>
      <c r="E62" s="68">
        <v>0.45</v>
      </c>
      <c r="F62" s="68">
        <v>0.45</v>
      </c>
      <c r="G62" s="2">
        <f>C62*D62*E62*F62</f>
        <v>46.575000000000003</v>
      </c>
      <c r="H62" s="48" t="s">
        <v>10</v>
      </c>
    </row>
    <row r="63" spans="1:13" ht="13.8">
      <c r="A63" s="18"/>
      <c r="B63" s="46"/>
      <c r="C63" s="1"/>
      <c r="D63" s="5"/>
      <c r="E63" s="5"/>
      <c r="F63" s="58"/>
      <c r="G63" s="109"/>
      <c r="H63" s="56"/>
    </row>
    <row r="64" spans="1:13" ht="13.8">
      <c r="A64" s="18"/>
      <c r="B64" s="74"/>
      <c r="C64" s="1"/>
      <c r="D64" s="5"/>
      <c r="E64" s="5"/>
      <c r="F64" s="107" t="s">
        <v>23</v>
      </c>
      <c r="G64" s="53">
        <f>SUM(G59:G63)</f>
        <v>247.10624999999999</v>
      </c>
      <c r="H64" s="110" t="s">
        <v>12</v>
      </c>
    </row>
    <row r="65" spans="1:8" ht="13.8">
      <c r="A65" s="18"/>
      <c r="B65" s="8"/>
      <c r="C65" s="1"/>
      <c r="D65" s="1"/>
      <c r="E65" s="1"/>
      <c r="F65" s="63" t="s">
        <v>13</v>
      </c>
      <c r="G65" s="64">
        <f>ROUNDUP(G64,0)</f>
        <v>248</v>
      </c>
      <c r="H65" s="65" t="s">
        <v>12</v>
      </c>
    </row>
    <row r="66" spans="1:8" ht="13.8">
      <c r="A66" s="18"/>
      <c r="B66" s="62"/>
      <c r="C66" s="61"/>
      <c r="D66" s="5"/>
      <c r="E66" s="5"/>
      <c r="F66" s="5"/>
      <c r="G66" s="2"/>
      <c r="H66" s="48"/>
    </row>
    <row r="67" spans="1:8" ht="13.8">
      <c r="A67" s="18">
        <f>A58+1</f>
        <v>10</v>
      </c>
      <c r="B67" s="6" t="s">
        <v>378</v>
      </c>
      <c r="C67" s="61"/>
      <c r="D67" s="5"/>
      <c r="E67" s="5"/>
      <c r="F67" s="5"/>
      <c r="G67" s="2"/>
      <c r="H67" s="48"/>
    </row>
    <row r="68" spans="1:8" ht="13.8">
      <c r="A68" s="18"/>
      <c r="B68" s="6"/>
      <c r="C68" s="1">
        <v>1</v>
      </c>
      <c r="D68" s="5">
        <f>G7</f>
        <v>90</v>
      </c>
      <c r="E68" s="5" t="s">
        <v>47</v>
      </c>
      <c r="F68" s="5">
        <v>0.15</v>
      </c>
      <c r="G68" s="2">
        <f>C68*D68*F68</f>
        <v>13.5</v>
      </c>
      <c r="H68" s="48" t="s">
        <v>9</v>
      </c>
    </row>
    <row r="69" spans="1:8" ht="13.8">
      <c r="A69" s="18"/>
      <c r="B69" s="62"/>
      <c r="C69" s="61"/>
      <c r="D69" s="5"/>
      <c r="E69" s="5"/>
      <c r="F69" s="63" t="s">
        <v>13</v>
      </c>
      <c r="G69" s="64">
        <f>ROUNDUP(G68,0)</f>
        <v>14</v>
      </c>
      <c r="H69" s="65" t="s">
        <v>9</v>
      </c>
    </row>
    <row r="70" spans="1:8" ht="13.8">
      <c r="A70" s="18"/>
      <c r="B70" s="62"/>
      <c r="C70" s="61"/>
      <c r="D70" s="5"/>
      <c r="E70" s="5"/>
      <c r="F70" s="108"/>
      <c r="G70" s="72"/>
      <c r="H70" s="73"/>
    </row>
    <row r="71" spans="1:8" ht="13.8">
      <c r="A71" s="18"/>
      <c r="B71" s="62"/>
      <c r="C71" s="61"/>
      <c r="D71" s="5"/>
      <c r="E71" s="5"/>
      <c r="F71" s="108"/>
      <c r="G71" s="72"/>
      <c r="H71" s="73"/>
    </row>
    <row r="72" spans="1:8" ht="13.8">
      <c r="A72" s="18">
        <f>A67+1</f>
        <v>11</v>
      </c>
      <c r="B72" s="6" t="s">
        <v>379</v>
      </c>
      <c r="C72" s="61"/>
      <c r="D72" s="5"/>
      <c r="E72" s="5"/>
      <c r="F72" s="108"/>
      <c r="G72" s="72"/>
      <c r="H72" s="73"/>
    </row>
    <row r="73" spans="1:8" ht="13.8">
      <c r="A73" s="18"/>
      <c r="B73" s="62"/>
      <c r="C73" s="61">
        <v>1</v>
      </c>
      <c r="D73" s="5">
        <v>620</v>
      </c>
      <c r="E73" s="5">
        <v>0.15</v>
      </c>
      <c r="F73" s="5">
        <v>0.45</v>
      </c>
      <c r="G73" s="2">
        <f>C73*D73*E73*F73</f>
        <v>41.85</v>
      </c>
      <c r="H73" s="48" t="s">
        <v>12</v>
      </c>
    </row>
    <row r="74" spans="1:8" ht="13.8">
      <c r="A74" s="18"/>
      <c r="B74" s="62"/>
      <c r="C74" s="61"/>
      <c r="D74" s="5"/>
      <c r="E74" s="5"/>
      <c r="F74" s="63" t="s">
        <v>13</v>
      </c>
      <c r="G74" s="64">
        <f>ROUNDUP(G73,0)</f>
        <v>42</v>
      </c>
      <c r="H74" s="65" t="s">
        <v>12</v>
      </c>
    </row>
    <row r="75" spans="1:8" ht="13.8">
      <c r="A75" s="18"/>
      <c r="B75" s="62"/>
      <c r="C75" s="61"/>
      <c r="D75" s="5"/>
      <c r="E75" s="5"/>
      <c r="F75" s="5"/>
      <c r="G75" s="2"/>
      <c r="H75" s="48"/>
    </row>
    <row r="76" spans="1:8" ht="13.8">
      <c r="A76" s="18">
        <f>A72+1</f>
        <v>12</v>
      </c>
      <c r="B76" s="6" t="s">
        <v>380</v>
      </c>
      <c r="C76" s="61"/>
      <c r="D76" s="5"/>
      <c r="E76" s="5"/>
      <c r="F76" s="5"/>
      <c r="G76" s="2"/>
      <c r="H76" s="48"/>
    </row>
    <row r="77" spans="1:8" ht="13.8">
      <c r="A77" s="18"/>
      <c r="B77" s="6"/>
      <c r="C77" s="1">
        <v>1</v>
      </c>
      <c r="D77" s="5">
        <f>D15</f>
        <v>320</v>
      </c>
      <c r="E77" s="5">
        <v>1.8</v>
      </c>
      <c r="F77" s="5">
        <v>0.1</v>
      </c>
      <c r="G77" s="2">
        <f>C77*D77*E77*F77</f>
        <v>57.6</v>
      </c>
      <c r="H77" s="48" t="s">
        <v>12</v>
      </c>
    </row>
    <row r="78" spans="1:8" ht="13.8">
      <c r="A78" s="18" t="s">
        <v>394</v>
      </c>
      <c r="B78" s="6"/>
      <c r="C78" s="1"/>
      <c r="D78" s="5"/>
      <c r="E78" s="5"/>
      <c r="F78" s="63" t="s">
        <v>13</v>
      </c>
      <c r="G78" s="64">
        <f>ROUNDUP(G77,0)</f>
        <v>58</v>
      </c>
      <c r="H78" s="65" t="s">
        <v>12</v>
      </c>
    </row>
    <row r="79" spans="1:8" ht="13.8">
      <c r="A79" s="18"/>
      <c r="B79" s="62"/>
      <c r="C79" s="61"/>
      <c r="D79" s="5"/>
      <c r="E79" s="5"/>
      <c r="F79" s="5"/>
      <c r="G79" s="2"/>
      <c r="H79" s="48"/>
    </row>
    <row r="80" spans="1:8" ht="13.8">
      <c r="A80" s="18">
        <f>A76+1</f>
        <v>13</v>
      </c>
      <c r="B80" s="6" t="s">
        <v>381</v>
      </c>
      <c r="C80" s="61"/>
      <c r="D80" s="5"/>
      <c r="E80" s="5"/>
      <c r="F80" s="5"/>
      <c r="G80" s="2"/>
      <c r="H80" s="48"/>
    </row>
    <row r="81" spans="1:8" ht="13.8">
      <c r="A81" s="18"/>
      <c r="B81" s="6"/>
      <c r="C81" s="1">
        <v>1</v>
      </c>
      <c r="D81" s="5">
        <f>G12</f>
        <v>900</v>
      </c>
      <c r="E81" s="5" t="s">
        <v>47</v>
      </c>
      <c r="F81" s="5"/>
      <c r="G81" s="2">
        <f>C81*D81</f>
        <v>900</v>
      </c>
      <c r="H81" s="48" t="s">
        <v>17</v>
      </c>
    </row>
    <row r="82" spans="1:8" ht="13.8">
      <c r="A82" s="18"/>
      <c r="B82" s="62"/>
      <c r="C82" s="61"/>
      <c r="D82" s="5"/>
      <c r="E82" s="5"/>
      <c r="F82" s="63" t="s">
        <v>13</v>
      </c>
      <c r="G82" s="64">
        <f>ROUNDUP(G81,0)</f>
        <v>900</v>
      </c>
      <c r="H82" s="65" t="s">
        <v>17</v>
      </c>
    </row>
    <row r="83" spans="1:8" ht="13.8">
      <c r="A83" s="18"/>
      <c r="B83" s="62"/>
      <c r="C83" s="61"/>
      <c r="D83" s="5"/>
      <c r="E83" s="5"/>
      <c r="F83" s="5"/>
      <c r="G83" s="2"/>
      <c r="H83" s="48"/>
    </row>
    <row r="84" spans="1:8" ht="13.8">
      <c r="A84" s="18">
        <f>A80+1</f>
        <v>14</v>
      </c>
      <c r="B84" s="6" t="s">
        <v>382</v>
      </c>
      <c r="C84" s="61"/>
      <c r="D84" s="5"/>
      <c r="E84" s="5"/>
      <c r="F84" s="5"/>
      <c r="G84" s="2"/>
      <c r="H84" s="48"/>
    </row>
    <row r="85" spans="1:8" ht="13.8">
      <c r="A85" s="18"/>
      <c r="B85" s="6" t="s">
        <v>383</v>
      </c>
      <c r="C85" s="1">
        <v>1</v>
      </c>
      <c r="D85" s="5">
        <v>30</v>
      </c>
      <c r="E85" s="5"/>
      <c r="F85" s="5"/>
      <c r="G85" s="2">
        <f>C85*D85</f>
        <v>30</v>
      </c>
      <c r="H85" s="48" t="s">
        <v>49</v>
      </c>
    </row>
    <row r="86" spans="1:8" ht="13.8">
      <c r="A86" s="18"/>
      <c r="B86" s="62"/>
      <c r="C86" s="61"/>
      <c r="D86" s="5"/>
      <c r="E86" s="5"/>
      <c r="F86" s="63" t="s">
        <v>13</v>
      </c>
      <c r="G86" s="64">
        <f>ROUNDUP(G85,0)</f>
        <v>30</v>
      </c>
      <c r="H86" s="65" t="s">
        <v>49</v>
      </c>
    </row>
    <row r="87" spans="1:8" ht="13.8">
      <c r="A87" s="18"/>
      <c r="B87" s="6"/>
      <c r="C87" s="61"/>
      <c r="D87" s="5"/>
      <c r="E87" s="5"/>
      <c r="F87" s="5"/>
      <c r="G87" s="2"/>
      <c r="H87" s="48"/>
    </row>
    <row r="88" spans="1:8" ht="13.8">
      <c r="A88" s="18"/>
      <c r="B88" s="6" t="s">
        <v>384</v>
      </c>
      <c r="C88" s="1">
        <v>1</v>
      </c>
      <c r="D88" s="5">
        <v>40</v>
      </c>
      <c r="E88" s="5"/>
      <c r="F88" s="5"/>
      <c r="G88" s="2">
        <f>C88*D88</f>
        <v>40</v>
      </c>
      <c r="H88" s="48" t="s">
        <v>49</v>
      </c>
    </row>
    <row r="89" spans="1:8" ht="13.8">
      <c r="A89" s="18"/>
      <c r="B89" s="62"/>
      <c r="C89" s="61"/>
      <c r="D89" s="5"/>
      <c r="E89" s="5"/>
      <c r="F89" s="63" t="s">
        <v>13</v>
      </c>
      <c r="G89" s="64">
        <f>ROUNDUP(G88,0)</f>
        <v>40</v>
      </c>
      <c r="H89" s="65" t="s">
        <v>49</v>
      </c>
    </row>
    <row r="90" spans="1:8" ht="13.8">
      <c r="A90" s="18"/>
      <c r="B90" s="62"/>
      <c r="C90" s="61"/>
      <c r="D90" s="5"/>
      <c r="E90" s="5"/>
      <c r="F90" s="5"/>
      <c r="G90" s="2"/>
      <c r="H90" s="48"/>
    </row>
    <row r="91" spans="1:8" ht="13.8">
      <c r="A91" s="18"/>
      <c r="B91" s="62"/>
      <c r="C91" s="61"/>
      <c r="D91" s="5"/>
      <c r="E91" s="5"/>
      <c r="F91" s="5"/>
      <c r="G91" s="2"/>
      <c r="H91" s="48"/>
    </row>
    <row r="92" spans="1:8" ht="13.8">
      <c r="A92" s="18"/>
      <c r="B92" s="62"/>
      <c r="C92" s="61"/>
      <c r="D92" s="5"/>
      <c r="E92" s="5"/>
      <c r="F92" s="5"/>
      <c r="G92" s="2"/>
      <c r="H92" s="48"/>
    </row>
    <row r="93" spans="1:8" ht="13.8">
      <c r="A93" s="18"/>
      <c r="B93" s="62"/>
      <c r="C93" s="61"/>
      <c r="D93" s="5"/>
      <c r="E93" s="5"/>
      <c r="F93" s="5"/>
      <c r="G93" s="2"/>
      <c r="H93" s="48"/>
    </row>
    <row r="94" spans="1:8" ht="13.8">
      <c r="A94" s="18"/>
      <c r="B94" s="62"/>
      <c r="C94" s="61"/>
      <c r="D94" s="5"/>
      <c r="E94" s="5"/>
      <c r="F94" s="5"/>
      <c r="G94" s="2"/>
      <c r="H94" s="48"/>
    </row>
    <row r="95" spans="1:8" ht="13.8">
      <c r="A95" s="29"/>
      <c r="B95" s="62"/>
      <c r="C95" s="61"/>
      <c r="D95" s="5"/>
      <c r="E95" s="5"/>
      <c r="F95" s="5"/>
      <c r="G95" s="2"/>
      <c r="H95" s="48"/>
    </row>
    <row r="96" spans="1:8" ht="13.8">
      <c r="A96" s="29"/>
      <c r="B96" s="62"/>
      <c r="C96" s="61"/>
      <c r="D96" s="5"/>
      <c r="E96" s="5"/>
      <c r="F96" s="5"/>
      <c r="G96" s="2"/>
      <c r="H96" s="48"/>
    </row>
    <row r="97" spans="1:8" ht="13.8">
      <c r="A97" s="29"/>
      <c r="B97" s="62"/>
      <c r="C97" s="61"/>
      <c r="D97" s="5"/>
      <c r="E97" s="5"/>
      <c r="F97" s="5"/>
      <c r="G97" s="2"/>
      <c r="H97" s="48"/>
    </row>
    <row r="98" spans="1:8" ht="13.8">
      <c r="A98" s="29"/>
      <c r="B98" s="62"/>
      <c r="C98" s="61"/>
      <c r="D98" s="5"/>
      <c r="E98" s="5"/>
      <c r="F98" s="5"/>
      <c r="G98" s="2"/>
      <c r="H98" s="48"/>
    </row>
    <row r="99" spans="1:8" ht="13.8">
      <c r="A99" s="29"/>
      <c r="B99" s="62"/>
      <c r="C99" s="61"/>
      <c r="D99" s="5"/>
      <c r="E99" s="5"/>
      <c r="F99" s="5"/>
      <c r="G99" s="2"/>
      <c r="H99" s="48"/>
    </row>
    <row r="100" spans="1:8" ht="13.8">
      <c r="A100" s="29"/>
      <c r="B100" s="62"/>
      <c r="C100" s="61"/>
      <c r="D100" s="5"/>
      <c r="E100" s="5"/>
      <c r="F100" s="5"/>
      <c r="G100" s="2"/>
      <c r="H100" s="48"/>
    </row>
    <row r="101" spans="1:8" ht="13.8">
      <c r="A101" s="29"/>
      <c r="B101" s="62"/>
      <c r="C101" s="61"/>
      <c r="D101" s="5"/>
      <c r="E101" s="5"/>
      <c r="F101" s="5"/>
      <c r="G101" s="2"/>
      <c r="H101" s="48"/>
    </row>
    <row r="102" spans="1:8" ht="13.8">
      <c r="A102" s="29"/>
      <c r="B102" s="62"/>
      <c r="C102" s="61"/>
      <c r="D102" s="5"/>
      <c r="E102" s="5"/>
      <c r="F102" s="5"/>
      <c r="G102" s="2"/>
      <c r="H102" s="48"/>
    </row>
    <row r="103" spans="1:8" ht="13.8">
      <c r="A103" s="29"/>
      <c r="B103" s="62"/>
      <c r="C103" s="61"/>
      <c r="D103" s="5"/>
      <c r="E103" s="5"/>
      <c r="F103" s="5"/>
      <c r="G103" s="2"/>
      <c r="H103" s="48"/>
    </row>
    <row r="104" spans="1:8" ht="13.8">
      <c r="A104" s="29"/>
      <c r="B104" s="62"/>
      <c r="C104" s="61"/>
      <c r="D104" s="5"/>
      <c r="E104" s="5"/>
      <c r="F104" s="5"/>
      <c r="G104" s="2"/>
      <c r="H104" s="48"/>
    </row>
    <row r="105" spans="1:8" ht="13.8">
      <c r="A105" s="29"/>
      <c r="B105" s="62"/>
      <c r="C105" s="61"/>
      <c r="D105" s="5"/>
      <c r="E105" s="5"/>
      <c r="F105" s="5"/>
      <c r="G105" s="2"/>
      <c r="H105" s="48"/>
    </row>
    <row r="106" spans="1:8" ht="13.8">
      <c r="A106" s="29"/>
      <c r="B106" s="62"/>
      <c r="C106" s="61"/>
      <c r="D106" s="5"/>
      <c r="E106" s="5"/>
      <c r="F106" s="5"/>
      <c r="G106" s="2"/>
      <c r="H106" s="48"/>
    </row>
    <row r="107" spans="1:8" ht="13.8">
      <c r="A107" s="29"/>
      <c r="B107" s="62"/>
      <c r="C107" s="61"/>
      <c r="D107" s="5"/>
      <c r="E107" s="5"/>
      <c r="F107" s="5"/>
      <c r="G107" s="2"/>
      <c r="H107" s="48"/>
    </row>
    <row r="108" spans="1:8" ht="13.8">
      <c r="A108" s="29"/>
      <c r="B108" s="62"/>
      <c r="C108" s="61"/>
      <c r="D108" s="5"/>
      <c r="E108" s="5"/>
      <c r="F108" s="5"/>
      <c r="G108" s="2"/>
      <c r="H108" s="48"/>
    </row>
    <row r="109" spans="1:8" ht="13.8">
      <c r="A109" s="29"/>
      <c r="B109" s="62"/>
      <c r="C109" s="61"/>
      <c r="D109" s="5"/>
      <c r="E109" s="5"/>
      <c r="F109" s="5"/>
      <c r="G109" s="2"/>
      <c r="H109" s="48"/>
    </row>
    <row r="110" spans="1:8" ht="13.8">
      <c r="A110" s="29"/>
      <c r="B110" s="62"/>
      <c r="C110" s="61"/>
      <c r="D110" s="5"/>
      <c r="E110" s="5"/>
      <c r="F110" s="5"/>
      <c r="G110" s="2"/>
      <c r="H110" s="48"/>
    </row>
    <row r="111" spans="1:8" ht="13.8">
      <c r="A111" s="29"/>
      <c r="B111" s="62"/>
      <c r="C111" s="61"/>
      <c r="D111" s="5"/>
      <c r="E111" s="5"/>
      <c r="F111" s="5"/>
      <c r="G111" s="2"/>
      <c r="H111" s="48"/>
    </row>
    <row r="112" spans="1:8" ht="13.8">
      <c r="A112" s="29"/>
      <c r="B112" s="62"/>
      <c r="C112" s="61"/>
      <c r="D112" s="5"/>
      <c r="E112" s="5"/>
      <c r="F112" s="5"/>
      <c r="G112" s="2"/>
      <c r="H112" s="48"/>
    </row>
    <row r="113" spans="1:8" ht="13.8">
      <c r="A113" s="29"/>
      <c r="B113" s="62"/>
      <c r="C113" s="61"/>
      <c r="D113" s="5"/>
      <c r="E113" s="5"/>
      <c r="F113" s="5"/>
      <c r="G113" s="2"/>
      <c r="H113" s="48"/>
    </row>
    <row r="114" spans="1:8" ht="13.8">
      <c r="A114" s="29"/>
      <c r="B114" s="62"/>
      <c r="C114" s="61"/>
      <c r="D114" s="5"/>
      <c r="E114" s="5"/>
      <c r="F114" s="5"/>
      <c r="G114" s="2"/>
      <c r="H114" s="48"/>
    </row>
    <row r="115" spans="1:8" ht="13.8">
      <c r="A115" s="29"/>
      <c r="B115" s="62"/>
      <c r="C115" s="61"/>
      <c r="D115" s="5"/>
      <c r="E115" s="5"/>
      <c r="F115" s="5"/>
      <c r="G115" s="2"/>
      <c r="H115" s="48"/>
    </row>
    <row r="116" spans="1:8" ht="13.8">
      <c r="A116" s="29"/>
      <c r="B116" s="62"/>
      <c r="C116" s="61"/>
      <c r="D116" s="5"/>
      <c r="E116" s="5"/>
      <c r="F116" s="5"/>
      <c r="G116" s="2"/>
      <c r="H116" s="48"/>
    </row>
    <row r="117" spans="1:8" ht="13.8">
      <c r="A117" s="29"/>
      <c r="B117" s="62"/>
      <c r="C117" s="61"/>
      <c r="D117" s="5"/>
      <c r="E117" s="5"/>
      <c r="F117" s="5"/>
      <c r="G117" s="2"/>
      <c r="H117" s="48"/>
    </row>
    <row r="118" spans="1:8" ht="13.8">
      <c r="A118" s="29"/>
      <c r="B118" s="62"/>
      <c r="C118" s="61"/>
      <c r="D118" s="5"/>
      <c r="E118" s="5"/>
      <c r="F118" s="5"/>
      <c r="G118" s="2"/>
      <c r="H118" s="48"/>
    </row>
    <row r="119" spans="1:8" ht="13.8">
      <c r="A119" s="29"/>
      <c r="B119" s="62"/>
      <c r="C119" s="61"/>
      <c r="D119" s="5"/>
      <c r="E119" s="5"/>
      <c r="F119" s="5"/>
      <c r="G119" s="2"/>
      <c r="H119" s="48"/>
    </row>
    <row r="120" spans="1:8" ht="13.8">
      <c r="A120" s="29"/>
      <c r="B120" s="62"/>
      <c r="C120" s="61"/>
      <c r="D120" s="5"/>
      <c r="E120" s="5"/>
      <c r="F120" s="5"/>
      <c r="G120" s="2"/>
      <c r="H120" s="48"/>
    </row>
    <row r="121" spans="1:8" ht="13.8">
      <c r="A121" s="29"/>
      <c r="B121" s="62"/>
      <c r="C121" s="61"/>
      <c r="D121" s="5"/>
      <c r="E121" s="5"/>
      <c r="F121" s="5"/>
      <c r="G121" s="2"/>
      <c r="H121" s="48"/>
    </row>
    <row r="122" spans="1:8" ht="13.8">
      <c r="A122" s="29"/>
      <c r="B122" s="62"/>
      <c r="C122" s="61"/>
      <c r="D122" s="5"/>
      <c r="E122" s="5"/>
      <c r="F122" s="5"/>
      <c r="G122" s="2"/>
      <c r="H122" s="48"/>
    </row>
    <row r="123" spans="1:8" ht="13.8">
      <c r="A123" s="29"/>
      <c r="B123" s="62"/>
      <c r="C123" s="61"/>
      <c r="D123" s="5"/>
      <c r="E123" s="5"/>
      <c r="F123" s="5"/>
      <c r="G123" s="2"/>
      <c r="H123" s="48"/>
    </row>
    <row r="124" spans="1:8" ht="13.8">
      <c r="A124" s="29"/>
      <c r="B124" s="62"/>
      <c r="C124" s="61"/>
      <c r="D124" s="5"/>
      <c r="E124" s="5"/>
      <c r="F124" s="5"/>
      <c r="G124" s="2"/>
      <c r="H124" s="48"/>
    </row>
    <row r="125" spans="1:8" ht="13.8">
      <c r="A125" s="29"/>
      <c r="B125" s="62"/>
      <c r="C125" s="61"/>
      <c r="D125" s="5"/>
      <c r="E125" s="5"/>
      <c r="F125" s="5"/>
      <c r="G125" s="2"/>
      <c r="H125" s="48"/>
    </row>
    <row r="126" spans="1:8" ht="13.8">
      <c r="A126" s="29"/>
      <c r="B126" s="62"/>
      <c r="C126" s="61"/>
      <c r="D126" s="5"/>
      <c r="E126" s="5"/>
      <c r="F126" s="5"/>
      <c r="G126" s="2"/>
      <c r="H126" s="48"/>
    </row>
    <row r="127" spans="1:8" ht="13.8">
      <c r="A127" s="29"/>
      <c r="B127" s="62"/>
      <c r="C127" s="61"/>
      <c r="D127" s="5"/>
      <c r="E127" s="5"/>
      <c r="F127" s="5"/>
      <c r="G127" s="2"/>
      <c r="H127" s="48"/>
    </row>
    <row r="128" spans="1:8" ht="13.8">
      <c r="A128" s="29"/>
      <c r="B128" s="62"/>
      <c r="C128" s="61"/>
      <c r="D128" s="5"/>
      <c r="E128" s="5"/>
      <c r="F128" s="5"/>
      <c r="G128" s="2"/>
      <c r="H128" s="48"/>
    </row>
    <row r="129" spans="1:8" ht="13.8">
      <c r="A129" s="29"/>
      <c r="B129" s="62"/>
      <c r="C129" s="61"/>
      <c r="D129" s="5"/>
      <c r="E129" s="5"/>
      <c r="F129" s="5"/>
      <c r="G129" s="2"/>
      <c r="H129" s="48"/>
    </row>
    <row r="130" spans="1:8" ht="13.8">
      <c r="A130" s="29"/>
      <c r="B130" s="62"/>
      <c r="C130" s="61"/>
      <c r="D130" s="5"/>
      <c r="E130" s="5"/>
      <c r="F130" s="5"/>
      <c r="G130" s="2"/>
      <c r="H130" s="48"/>
    </row>
    <row r="131" spans="1:8" ht="13.8">
      <c r="A131" s="29"/>
      <c r="B131" s="62"/>
      <c r="C131" s="61"/>
      <c r="D131" s="5"/>
      <c r="E131" s="5"/>
      <c r="F131" s="5"/>
      <c r="G131" s="2"/>
      <c r="H131" s="48"/>
    </row>
    <row r="132" spans="1:8" ht="13.8">
      <c r="A132" s="29"/>
      <c r="B132" s="62"/>
      <c r="C132" s="61"/>
      <c r="D132" s="5"/>
      <c r="E132" s="5"/>
      <c r="F132" s="5"/>
      <c r="G132" s="2"/>
      <c r="H132" s="48"/>
    </row>
    <row r="133" spans="1:8" ht="13.8">
      <c r="A133" s="29"/>
      <c r="B133" s="62"/>
      <c r="C133" s="61"/>
      <c r="D133" s="5"/>
      <c r="E133" s="5"/>
      <c r="F133" s="5"/>
      <c r="G133" s="2"/>
      <c r="H133" s="48"/>
    </row>
    <row r="134" spans="1:8" ht="13.8">
      <c r="A134" s="29"/>
      <c r="B134" s="62"/>
      <c r="C134" s="61"/>
      <c r="D134" s="5"/>
      <c r="E134" s="5"/>
      <c r="F134" s="5"/>
      <c r="G134" s="2"/>
      <c r="H134" s="48"/>
    </row>
    <row r="135" spans="1:8" ht="13.8">
      <c r="A135" s="29"/>
      <c r="B135" s="62"/>
      <c r="C135" s="61"/>
      <c r="D135" s="5"/>
      <c r="E135" s="5"/>
      <c r="F135" s="5"/>
      <c r="G135" s="2"/>
      <c r="H135" s="48"/>
    </row>
    <row r="136" spans="1:8" ht="13.8">
      <c r="A136" s="29"/>
      <c r="B136" s="62"/>
      <c r="C136" s="61"/>
      <c r="D136" s="5"/>
      <c r="E136" s="5"/>
      <c r="F136" s="5"/>
      <c r="G136" s="2"/>
      <c r="H136" s="48"/>
    </row>
    <row r="137" spans="1:8" ht="13.8">
      <c r="A137" s="29"/>
      <c r="B137" s="62"/>
      <c r="C137" s="61"/>
      <c r="D137" s="5"/>
      <c r="E137" s="5"/>
      <c r="F137" s="5"/>
      <c r="G137" s="2"/>
      <c r="H137" s="48"/>
    </row>
    <row r="138" spans="1:8" ht="13.8">
      <c r="A138" s="29"/>
      <c r="B138" s="62"/>
      <c r="C138" s="61"/>
      <c r="D138" s="5"/>
      <c r="E138" s="5"/>
      <c r="F138" s="5"/>
      <c r="G138" s="2"/>
      <c r="H138" s="48"/>
    </row>
    <row r="139" spans="1:8" ht="13.8">
      <c r="A139" s="29"/>
      <c r="B139" s="62"/>
      <c r="C139" s="61"/>
      <c r="D139" s="5"/>
      <c r="E139" s="5"/>
      <c r="F139" s="5"/>
      <c r="G139" s="2"/>
      <c r="H139" s="48"/>
    </row>
    <row r="140" spans="1:8" ht="13.8">
      <c r="A140" s="29"/>
      <c r="B140" s="62"/>
      <c r="C140" s="61"/>
      <c r="D140" s="5"/>
      <c r="E140" s="5"/>
      <c r="F140" s="5"/>
      <c r="G140" s="2"/>
      <c r="H140" s="48"/>
    </row>
    <row r="141" spans="1:8" ht="13.8">
      <c r="A141" s="29"/>
      <c r="B141" s="62"/>
      <c r="C141" s="61"/>
      <c r="D141" s="5"/>
      <c r="E141" s="5"/>
      <c r="F141" s="5"/>
      <c r="G141" s="2"/>
      <c r="H141" s="48"/>
    </row>
    <row r="142" spans="1:8" ht="13.8">
      <c r="A142" s="29"/>
      <c r="B142" s="62"/>
      <c r="C142" s="61"/>
      <c r="D142" s="5"/>
      <c r="E142" s="5"/>
      <c r="F142" s="5"/>
      <c r="G142" s="2"/>
      <c r="H142" s="48"/>
    </row>
    <row r="143" spans="1:8" ht="13.8">
      <c r="A143" s="29"/>
      <c r="B143" s="62"/>
      <c r="C143" s="61"/>
      <c r="D143" s="5"/>
      <c r="E143" s="5"/>
      <c r="F143" s="5"/>
      <c r="G143" s="2"/>
      <c r="H143" s="48"/>
    </row>
    <row r="144" spans="1:8" ht="13.8">
      <c r="A144" s="29"/>
      <c r="B144" s="62"/>
      <c r="C144" s="61"/>
      <c r="D144" s="5"/>
      <c r="E144" s="5"/>
      <c r="F144" s="5"/>
      <c r="G144" s="2"/>
      <c r="H144" s="48"/>
    </row>
    <row r="145" spans="1:8" ht="13.8">
      <c r="A145" s="29"/>
      <c r="B145" s="62"/>
      <c r="C145" s="61"/>
      <c r="D145" s="5"/>
      <c r="E145" s="5"/>
      <c r="F145" s="5"/>
      <c r="G145" s="2"/>
      <c r="H145" s="48"/>
    </row>
    <row r="146" spans="1:8" ht="13.8">
      <c r="A146" s="29"/>
      <c r="B146" s="62"/>
      <c r="C146" s="61"/>
      <c r="D146" s="5"/>
      <c r="E146" s="5"/>
      <c r="F146" s="5"/>
      <c r="G146" s="2"/>
      <c r="H146" s="48"/>
    </row>
    <row r="147" spans="1:8" ht="13.8">
      <c r="A147" s="29"/>
      <c r="B147" s="62"/>
      <c r="C147" s="61"/>
      <c r="D147" s="5"/>
      <c r="E147" s="5"/>
      <c r="F147" s="5"/>
      <c r="G147" s="2"/>
      <c r="H147" s="48"/>
    </row>
    <row r="148" spans="1:8" ht="13.8">
      <c r="A148" s="29"/>
      <c r="B148" s="62"/>
      <c r="C148" s="61"/>
      <c r="D148" s="5"/>
      <c r="E148" s="5"/>
      <c r="F148" s="5"/>
      <c r="G148" s="2"/>
      <c r="H148" s="48"/>
    </row>
    <row r="149" spans="1:8" ht="13.8">
      <c r="A149" s="29"/>
      <c r="B149" s="62"/>
      <c r="C149" s="61"/>
      <c r="D149" s="5"/>
      <c r="E149" s="5"/>
      <c r="F149" s="5"/>
      <c r="G149" s="2"/>
      <c r="H149" s="48"/>
    </row>
    <row r="150" spans="1:8" ht="13.8">
      <c r="A150" s="29"/>
      <c r="B150" s="62"/>
      <c r="C150" s="61"/>
      <c r="D150" s="5"/>
      <c r="E150" s="5"/>
      <c r="F150" s="5"/>
      <c r="G150" s="2"/>
      <c r="H150" s="48"/>
    </row>
    <row r="151" spans="1:8" ht="13.8">
      <c r="A151" s="29"/>
      <c r="B151" s="62"/>
      <c r="C151" s="61"/>
      <c r="D151" s="5"/>
      <c r="E151" s="5"/>
      <c r="F151" s="5"/>
      <c r="G151" s="2"/>
      <c r="H151" s="48"/>
    </row>
    <row r="152" spans="1:8" ht="13.8">
      <c r="A152" s="29"/>
      <c r="B152" s="62"/>
      <c r="C152" s="61"/>
      <c r="D152" s="5"/>
      <c r="E152" s="5"/>
      <c r="F152" s="5"/>
      <c r="G152" s="2"/>
      <c r="H152" s="48"/>
    </row>
    <row r="153" spans="1:8" ht="13.8">
      <c r="A153" s="29"/>
      <c r="B153" s="62"/>
      <c r="C153" s="61"/>
      <c r="D153" s="5"/>
      <c r="E153" s="5"/>
      <c r="F153" s="5"/>
      <c r="G153" s="2"/>
      <c r="H153" s="48"/>
    </row>
    <row r="154" spans="1:8" ht="13.8">
      <c r="A154" s="29"/>
      <c r="B154" s="62"/>
      <c r="C154" s="61"/>
      <c r="D154" s="5"/>
      <c r="E154" s="5"/>
      <c r="F154" s="5"/>
      <c r="G154" s="2"/>
      <c r="H154" s="48"/>
    </row>
    <row r="155" spans="1:8" ht="13.8">
      <c r="A155" s="29"/>
      <c r="B155" s="62"/>
      <c r="C155" s="61"/>
      <c r="D155" s="5"/>
      <c r="E155" s="5"/>
      <c r="F155" s="5"/>
      <c r="G155" s="2"/>
      <c r="H155" s="48"/>
    </row>
    <row r="156" spans="1:8" ht="13.8">
      <c r="A156" s="29"/>
      <c r="B156" s="62"/>
      <c r="C156" s="61"/>
      <c r="D156" s="5"/>
      <c r="E156" s="5"/>
      <c r="F156" s="5"/>
      <c r="G156" s="2"/>
      <c r="H156" s="48"/>
    </row>
    <row r="157" spans="1:8" ht="13.8">
      <c r="A157" s="29"/>
      <c r="B157" s="62"/>
      <c r="C157" s="61"/>
      <c r="D157" s="5"/>
      <c r="E157" s="5"/>
      <c r="F157" s="5"/>
      <c r="G157" s="2"/>
      <c r="H157" s="48"/>
    </row>
    <row r="158" spans="1:8" ht="13.8">
      <c r="A158" s="29"/>
      <c r="B158" s="62"/>
      <c r="C158" s="61"/>
      <c r="D158" s="5"/>
      <c r="E158" s="5"/>
      <c r="F158" s="5"/>
      <c r="G158" s="2"/>
      <c r="H158" s="48"/>
    </row>
    <row r="159" spans="1:8" ht="13.8">
      <c r="A159" s="29"/>
      <c r="B159" s="62"/>
      <c r="C159" s="61"/>
      <c r="D159" s="5"/>
      <c r="E159" s="5"/>
      <c r="F159" s="5"/>
      <c r="G159" s="2"/>
      <c r="H159" s="48"/>
    </row>
    <row r="160" spans="1:8" ht="13.8">
      <c r="A160" s="29"/>
      <c r="B160" s="62"/>
      <c r="C160" s="61"/>
      <c r="D160" s="5"/>
      <c r="E160" s="5"/>
      <c r="F160" s="5"/>
      <c r="G160" s="2"/>
      <c r="H160" s="48"/>
    </row>
    <row r="161" spans="1:8" ht="13.8">
      <c r="A161" s="29"/>
      <c r="B161" s="62"/>
      <c r="C161" s="61"/>
      <c r="D161" s="5"/>
      <c r="E161" s="5"/>
      <c r="F161" s="5"/>
      <c r="G161" s="2"/>
      <c r="H161" s="48"/>
    </row>
    <row r="162" spans="1:8" ht="13.8">
      <c r="A162" s="29"/>
      <c r="B162" s="62"/>
      <c r="C162" s="61"/>
      <c r="D162" s="5"/>
      <c r="E162" s="5"/>
      <c r="F162" s="5"/>
      <c r="G162" s="2"/>
      <c r="H162" s="48"/>
    </row>
    <row r="163" spans="1:8" ht="13.8">
      <c r="A163" s="29"/>
      <c r="B163" s="62"/>
      <c r="C163" s="61"/>
      <c r="D163" s="5"/>
      <c r="E163" s="5"/>
      <c r="F163" s="5"/>
      <c r="G163" s="2"/>
      <c r="H163" s="48"/>
    </row>
    <row r="164" spans="1:8" ht="13.8">
      <c r="A164" s="29"/>
      <c r="B164" s="62"/>
      <c r="C164" s="61"/>
      <c r="D164" s="5"/>
      <c r="E164" s="5"/>
      <c r="F164" s="5"/>
      <c r="G164" s="2"/>
      <c r="H164" s="48"/>
    </row>
    <row r="165" spans="1:8" ht="13.8">
      <c r="A165" s="29"/>
      <c r="B165" s="62"/>
      <c r="C165" s="61"/>
      <c r="D165" s="5"/>
      <c r="E165" s="5"/>
      <c r="F165" s="5"/>
      <c r="G165" s="2"/>
      <c r="H165" s="48"/>
    </row>
    <row r="166" spans="1:8" ht="13.8">
      <c r="A166" s="29"/>
      <c r="B166" s="62"/>
      <c r="C166" s="61"/>
      <c r="D166" s="5"/>
      <c r="E166" s="5"/>
      <c r="F166" s="5"/>
      <c r="G166" s="2"/>
      <c r="H166" s="48"/>
    </row>
    <row r="167" spans="1:8" ht="13.8">
      <c r="A167" s="29"/>
      <c r="B167" s="62"/>
      <c r="C167" s="61"/>
      <c r="D167" s="5"/>
      <c r="E167" s="5"/>
      <c r="F167" s="5"/>
      <c r="G167" s="2"/>
      <c r="H167" s="48"/>
    </row>
    <row r="168" spans="1:8" ht="13.8">
      <c r="A168" s="29"/>
      <c r="B168" s="62"/>
      <c r="C168" s="61"/>
      <c r="D168" s="5"/>
      <c r="E168" s="5"/>
      <c r="F168" s="5"/>
      <c r="G168" s="2"/>
      <c r="H168" s="48"/>
    </row>
    <row r="169" spans="1:8" ht="13.8">
      <c r="A169" s="29"/>
      <c r="B169" s="62"/>
      <c r="C169" s="61"/>
      <c r="D169" s="5"/>
      <c r="E169" s="5"/>
      <c r="F169" s="5"/>
      <c r="G169" s="2"/>
      <c r="H169" s="48"/>
    </row>
    <row r="170" spans="1:8" ht="13.8">
      <c r="A170" s="29"/>
      <c r="B170" s="62"/>
      <c r="C170" s="61"/>
      <c r="D170" s="5"/>
      <c r="E170" s="5"/>
      <c r="F170" s="5"/>
      <c r="G170" s="2"/>
      <c r="H170" s="48"/>
    </row>
    <row r="171" spans="1:8" ht="13.8">
      <c r="A171" s="29"/>
      <c r="B171" s="62"/>
      <c r="C171" s="61"/>
      <c r="D171" s="5"/>
      <c r="E171" s="5"/>
      <c r="F171" s="5"/>
      <c r="G171" s="2"/>
      <c r="H171" s="48"/>
    </row>
    <row r="172" spans="1:8" ht="13.8">
      <c r="A172" s="29"/>
      <c r="B172" s="62"/>
      <c r="C172" s="61"/>
      <c r="D172" s="5"/>
      <c r="E172" s="5"/>
      <c r="F172" s="5"/>
      <c r="G172" s="2"/>
      <c r="H172" s="48"/>
    </row>
    <row r="173" spans="1:8" ht="13.8">
      <c r="A173" s="29"/>
      <c r="B173" s="62"/>
      <c r="C173" s="61"/>
      <c r="D173" s="5"/>
      <c r="E173" s="5"/>
      <c r="F173" s="5"/>
      <c r="G173" s="2"/>
      <c r="H173" s="48"/>
    </row>
    <row r="174" spans="1:8" ht="13.8">
      <c r="A174" s="29"/>
      <c r="B174" s="62"/>
      <c r="C174" s="61"/>
      <c r="D174" s="5"/>
      <c r="E174" s="5"/>
      <c r="F174" s="5"/>
      <c r="G174" s="2"/>
      <c r="H174" s="48"/>
    </row>
    <row r="175" spans="1:8" ht="13.8">
      <c r="A175" s="29"/>
      <c r="B175" s="62"/>
      <c r="C175" s="61"/>
      <c r="D175" s="5"/>
      <c r="E175" s="5"/>
      <c r="F175" s="5"/>
      <c r="G175" s="2"/>
      <c r="H175" s="48"/>
    </row>
    <row r="176" spans="1:8" ht="13.8">
      <c r="A176" s="29"/>
      <c r="B176" s="62"/>
      <c r="C176" s="61"/>
      <c r="D176" s="5"/>
      <c r="E176" s="5"/>
      <c r="F176" s="5"/>
      <c r="G176" s="2"/>
      <c r="H176" s="48"/>
    </row>
    <row r="177" spans="1:8" ht="13.8">
      <c r="A177" s="29"/>
      <c r="B177" s="62"/>
      <c r="C177" s="61"/>
      <c r="D177" s="5"/>
      <c r="E177" s="5"/>
      <c r="F177" s="5"/>
      <c r="G177" s="2"/>
      <c r="H177" s="48"/>
    </row>
    <row r="178" spans="1:8" ht="13.8">
      <c r="A178" s="29"/>
      <c r="B178" s="62"/>
      <c r="C178" s="61"/>
      <c r="D178" s="5"/>
      <c r="E178" s="5"/>
      <c r="F178" s="5"/>
      <c r="G178" s="2"/>
      <c r="H178" s="48"/>
    </row>
    <row r="179" spans="1:8" ht="13.8">
      <c r="A179" s="29"/>
      <c r="B179" s="62"/>
      <c r="C179" s="61"/>
      <c r="D179" s="5"/>
      <c r="E179" s="5"/>
      <c r="F179" s="5"/>
      <c r="G179" s="2"/>
      <c r="H179" s="48"/>
    </row>
    <row r="180" spans="1:8" ht="13.8">
      <c r="A180" s="29"/>
      <c r="B180" s="62"/>
      <c r="C180" s="61"/>
      <c r="D180" s="5"/>
      <c r="E180" s="5"/>
      <c r="F180" s="5"/>
      <c r="G180" s="2"/>
      <c r="H180" s="48"/>
    </row>
    <row r="181" spans="1:8" ht="13.8">
      <c r="A181" s="29"/>
      <c r="B181" s="62"/>
      <c r="C181" s="61"/>
      <c r="D181" s="5"/>
      <c r="E181" s="5"/>
      <c r="F181" s="5"/>
      <c r="G181" s="2"/>
      <c r="H181" s="48"/>
    </row>
    <row r="182" spans="1:8" ht="13.8">
      <c r="A182" s="29"/>
      <c r="B182" s="62"/>
      <c r="C182" s="61"/>
      <c r="D182" s="5"/>
      <c r="E182" s="5"/>
      <c r="F182" s="5"/>
      <c r="G182" s="2"/>
      <c r="H182" s="48"/>
    </row>
    <row r="183" spans="1:8" ht="13.8">
      <c r="A183" s="29"/>
      <c r="B183" s="62"/>
      <c r="C183" s="61"/>
      <c r="D183" s="5"/>
      <c r="E183" s="5"/>
      <c r="F183" s="5"/>
      <c r="G183" s="2"/>
      <c r="H183" s="48"/>
    </row>
    <row r="184" spans="1:8" ht="13.8">
      <c r="A184" s="29"/>
      <c r="B184" s="62"/>
      <c r="C184" s="61"/>
      <c r="D184" s="5"/>
      <c r="E184" s="5"/>
      <c r="F184" s="5"/>
      <c r="G184" s="2"/>
      <c r="H184" s="48"/>
    </row>
    <row r="185" spans="1:8" ht="13.8">
      <c r="A185" s="29"/>
      <c r="B185" s="62"/>
      <c r="C185" s="61"/>
      <c r="D185" s="5"/>
      <c r="E185" s="5"/>
      <c r="F185" s="5"/>
      <c r="G185" s="2"/>
      <c r="H185" s="48"/>
    </row>
    <row r="186" spans="1:8" ht="13.8">
      <c r="A186" s="29"/>
      <c r="B186" s="62"/>
      <c r="C186" s="61"/>
      <c r="D186" s="5"/>
      <c r="E186" s="5"/>
      <c r="F186" s="5"/>
      <c r="G186" s="2"/>
      <c r="H186" s="48"/>
    </row>
    <row r="187" spans="1:8" ht="13.8">
      <c r="A187" s="29"/>
      <c r="B187" s="62"/>
      <c r="C187" s="61"/>
      <c r="D187" s="5"/>
      <c r="E187" s="5"/>
      <c r="F187" s="5"/>
      <c r="G187" s="2"/>
      <c r="H187" s="48"/>
    </row>
    <row r="188" spans="1:8" ht="13.8">
      <c r="A188" s="29"/>
      <c r="B188" s="62"/>
      <c r="C188" s="61"/>
      <c r="D188" s="5"/>
      <c r="E188" s="5"/>
      <c r="F188" s="5"/>
      <c r="G188" s="2"/>
      <c r="H188" s="48"/>
    </row>
    <row r="189" spans="1:8" ht="13.8">
      <c r="A189" s="29"/>
      <c r="B189" s="62"/>
      <c r="C189" s="61"/>
      <c r="D189" s="5"/>
      <c r="E189" s="5"/>
      <c r="F189" s="5"/>
      <c r="G189" s="2"/>
      <c r="H189" s="48"/>
    </row>
    <row r="190" spans="1:8" ht="13.8">
      <c r="A190" s="29"/>
      <c r="B190" s="62"/>
      <c r="C190" s="61"/>
      <c r="D190" s="5"/>
      <c r="E190" s="5"/>
      <c r="F190" s="5"/>
      <c r="G190" s="2"/>
      <c r="H190" s="48"/>
    </row>
    <row r="191" spans="1:8" ht="13.8">
      <c r="A191" s="29"/>
      <c r="B191" s="62"/>
      <c r="C191" s="61"/>
      <c r="D191" s="5"/>
      <c r="E191" s="5"/>
      <c r="F191" s="5"/>
      <c r="G191" s="2"/>
      <c r="H191" s="48"/>
    </row>
    <row r="192" spans="1:8" ht="13.8">
      <c r="A192" s="29"/>
      <c r="B192" s="62"/>
      <c r="C192" s="61"/>
      <c r="D192" s="5"/>
      <c r="E192" s="5"/>
      <c r="F192" s="5"/>
      <c r="G192" s="2"/>
      <c r="H192" s="48"/>
    </row>
    <row r="193" spans="1:8" ht="13.8">
      <c r="A193" s="29"/>
      <c r="B193" s="62"/>
      <c r="C193" s="61"/>
      <c r="D193" s="5"/>
      <c r="E193" s="5"/>
      <c r="F193" s="5"/>
      <c r="G193" s="2"/>
      <c r="H193" s="48"/>
    </row>
    <row r="194" spans="1:8" ht="13.8">
      <c r="A194" s="29"/>
      <c r="B194" s="62"/>
      <c r="C194" s="61"/>
      <c r="D194" s="5"/>
      <c r="E194" s="5"/>
      <c r="F194" s="5"/>
      <c r="G194" s="2"/>
      <c r="H194" s="48"/>
    </row>
    <row r="195" spans="1:8" ht="13.8">
      <c r="A195" s="29"/>
      <c r="B195" s="62"/>
      <c r="C195" s="61"/>
      <c r="D195" s="5"/>
      <c r="E195" s="5"/>
      <c r="F195" s="5"/>
      <c r="G195" s="2"/>
      <c r="H195" s="48"/>
    </row>
    <row r="196" spans="1:8" ht="13.8">
      <c r="A196" s="29"/>
      <c r="B196" s="62"/>
      <c r="C196" s="61"/>
      <c r="D196" s="5"/>
      <c r="E196" s="5"/>
      <c r="F196" s="5"/>
      <c r="G196" s="2"/>
      <c r="H196" s="48"/>
    </row>
    <row r="197" spans="1:8" ht="13.8">
      <c r="A197" s="29"/>
      <c r="B197" s="62"/>
      <c r="C197" s="61"/>
      <c r="D197" s="5"/>
      <c r="E197" s="5"/>
      <c r="F197" s="5"/>
      <c r="G197" s="2"/>
      <c r="H197" s="48"/>
    </row>
    <row r="198" spans="1:8" ht="13.8">
      <c r="A198" s="29"/>
      <c r="B198" s="62"/>
      <c r="C198" s="61"/>
      <c r="D198" s="5"/>
      <c r="E198" s="5"/>
      <c r="F198" s="5"/>
      <c r="G198" s="2"/>
      <c r="H198" s="48"/>
    </row>
    <row r="199" spans="1:8" ht="13.8">
      <c r="A199" s="29"/>
      <c r="B199" s="62"/>
      <c r="C199" s="61"/>
      <c r="D199" s="5"/>
      <c r="E199" s="5"/>
      <c r="F199" s="5"/>
      <c r="G199" s="2"/>
      <c r="H199" s="48"/>
    </row>
    <row r="200" spans="1:8" ht="13.8">
      <c r="A200" s="29"/>
      <c r="B200" s="62"/>
      <c r="C200" s="61"/>
      <c r="D200" s="5"/>
      <c r="E200" s="5"/>
      <c r="F200" s="5"/>
      <c r="G200" s="2"/>
      <c r="H200" s="48"/>
    </row>
    <row r="201" spans="1:8" ht="13.8">
      <c r="A201" s="29"/>
      <c r="B201" s="62"/>
      <c r="C201" s="61"/>
      <c r="D201" s="5"/>
      <c r="E201" s="5"/>
      <c r="F201" s="5"/>
      <c r="G201" s="2"/>
      <c r="H201" s="48"/>
    </row>
    <row r="202" spans="1:8" ht="13.8">
      <c r="A202" s="29"/>
      <c r="B202" s="62"/>
      <c r="C202" s="61"/>
      <c r="D202" s="5"/>
      <c r="E202" s="5"/>
      <c r="F202" s="5"/>
      <c r="G202" s="2"/>
      <c r="H202" s="48"/>
    </row>
    <row r="203" spans="1:8" ht="13.8">
      <c r="A203" s="29"/>
      <c r="B203" s="62"/>
      <c r="C203" s="61"/>
      <c r="D203" s="5"/>
      <c r="E203" s="5"/>
      <c r="F203" s="5"/>
      <c r="G203" s="2"/>
      <c r="H203" s="48"/>
    </row>
    <row r="204" spans="1:8" ht="13.8">
      <c r="A204" s="29"/>
      <c r="B204" s="62"/>
      <c r="C204" s="61"/>
      <c r="D204" s="5"/>
      <c r="E204" s="5"/>
      <c r="F204" s="5"/>
      <c r="G204" s="2"/>
      <c r="H204" s="48"/>
    </row>
    <row r="205" spans="1:8" ht="13.8">
      <c r="A205" s="29"/>
      <c r="B205" s="62"/>
      <c r="C205" s="61"/>
      <c r="D205" s="5"/>
      <c r="E205" s="5"/>
      <c r="F205" s="5"/>
      <c r="G205" s="2"/>
      <c r="H205" s="48"/>
    </row>
    <row r="206" spans="1:8" ht="13.8">
      <c r="A206" s="29"/>
      <c r="B206" s="62"/>
      <c r="C206" s="61"/>
      <c r="D206" s="5"/>
      <c r="E206" s="5"/>
      <c r="F206" s="5"/>
      <c r="G206" s="2"/>
      <c r="H206" s="48"/>
    </row>
    <row r="207" spans="1:8" ht="13.8">
      <c r="A207" s="29"/>
      <c r="B207" s="62"/>
      <c r="C207" s="61"/>
      <c r="D207" s="5"/>
      <c r="E207" s="5"/>
      <c r="F207" s="5"/>
      <c r="G207" s="2"/>
      <c r="H207" s="48"/>
    </row>
    <row r="208" spans="1:8" ht="13.8">
      <c r="A208" s="29"/>
      <c r="B208" s="62"/>
      <c r="C208" s="61"/>
      <c r="D208" s="5"/>
      <c r="E208" s="5"/>
      <c r="F208" s="5"/>
      <c r="G208" s="2"/>
      <c r="H208" s="48"/>
    </row>
    <row r="209" spans="1:8" ht="13.8">
      <c r="A209" s="29"/>
      <c r="B209" s="62"/>
      <c r="C209" s="61"/>
      <c r="D209" s="5"/>
      <c r="E209" s="5"/>
      <c r="F209" s="5"/>
      <c r="G209" s="2"/>
      <c r="H209" s="48"/>
    </row>
    <row r="210" spans="1:8" ht="13.8">
      <c r="A210" s="29"/>
      <c r="B210" s="62"/>
      <c r="C210" s="61"/>
      <c r="D210" s="5"/>
      <c r="E210" s="5"/>
      <c r="F210" s="5"/>
      <c r="G210" s="2"/>
      <c r="H210" s="48"/>
    </row>
    <row r="211" spans="1:8" ht="13.8">
      <c r="A211" s="29"/>
      <c r="B211" s="62"/>
      <c r="C211" s="61"/>
      <c r="D211" s="5"/>
      <c r="E211" s="5"/>
      <c r="F211" s="5"/>
      <c r="G211" s="2"/>
      <c r="H211" s="48"/>
    </row>
    <row r="212" spans="1:8" ht="13.8">
      <c r="A212" s="29"/>
      <c r="B212" s="62"/>
      <c r="C212" s="61"/>
      <c r="D212" s="5"/>
      <c r="E212" s="5"/>
      <c r="F212" s="5"/>
      <c r="G212" s="2"/>
      <c r="H212" s="48"/>
    </row>
    <row r="213" spans="1:8" ht="13.8">
      <c r="A213" s="29"/>
      <c r="B213" s="62"/>
      <c r="C213" s="61"/>
      <c r="D213" s="5"/>
      <c r="E213" s="5"/>
      <c r="F213" s="5"/>
      <c r="G213" s="2"/>
      <c r="H213" s="48"/>
    </row>
    <row r="214" spans="1:8" ht="13.8">
      <c r="A214" s="29"/>
      <c r="B214" s="62"/>
      <c r="C214" s="61"/>
      <c r="D214" s="5"/>
      <c r="E214" s="5"/>
      <c r="F214" s="5"/>
      <c r="G214" s="2"/>
      <c r="H214" s="48"/>
    </row>
    <row r="215" spans="1:8" ht="13.8">
      <c r="A215" s="29"/>
      <c r="B215" s="62"/>
      <c r="C215" s="61"/>
      <c r="D215" s="5"/>
      <c r="E215" s="5"/>
      <c r="F215" s="5"/>
      <c r="G215" s="2"/>
      <c r="H215" s="48"/>
    </row>
    <row r="216" spans="1:8" ht="13.8">
      <c r="A216" s="29"/>
      <c r="B216" s="62"/>
      <c r="C216" s="61"/>
      <c r="D216" s="5"/>
      <c r="E216" s="5"/>
      <c r="F216" s="5"/>
      <c r="G216" s="2"/>
      <c r="H216" s="48"/>
    </row>
    <row r="217" spans="1:8" ht="13.8">
      <c r="A217" s="29"/>
      <c r="B217" s="62"/>
      <c r="C217" s="61"/>
      <c r="D217" s="5"/>
      <c r="E217" s="5"/>
      <c r="F217" s="5"/>
      <c r="G217" s="2"/>
      <c r="H217" s="48"/>
    </row>
    <row r="218" spans="1:8" ht="13.8">
      <c r="A218" s="29"/>
      <c r="B218" s="62"/>
      <c r="C218" s="61"/>
      <c r="D218" s="5"/>
      <c r="E218" s="5"/>
      <c r="F218" s="5"/>
      <c r="G218" s="2"/>
      <c r="H218" s="48"/>
    </row>
    <row r="219" spans="1:8" ht="13.8">
      <c r="A219" s="29"/>
      <c r="B219" s="62"/>
      <c r="C219" s="61"/>
      <c r="D219" s="5"/>
      <c r="E219" s="5"/>
      <c r="F219" s="5"/>
      <c r="G219" s="2"/>
      <c r="H219" s="48"/>
    </row>
    <row r="220" spans="1:8" ht="13.8">
      <c r="A220" s="29"/>
      <c r="B220" s="62"/>
      <c r="C220" s="61"/>
      <c r="D220" s="5"/>
      <c r="E220" s="5"/>
      <c r="F220" s="5"/>
      <c r="G220" s="2"/>
      <c r="H220" s="48"/>
    </row>
    <row r="221" spans="1:8" ht="13.8">
      <c r="A221" s="29"/>
      <c r="B221" s="62"/>
      <c r="C221" s="61"/>
      <c r="D221" s="5"/>
      <c r="E221" s="5"/>
      <c r="F221" s="5"/>
      <c r="G221" s="2"/>
      <c r="H221" s="48"/>
    </row>
    <row r="222" spans="1:8" ht="13.8">
      <c r="A222" s="29"/>
      <c r="B222" s="62"/>
      <c r="C222" s="61"/>
      <c r="D222" s="5"/>
      <c r="E222" s="5"/>
      <c r="F222" s="5"/>
      <c r="G222" s="2"/>
      <c r="H222" s="48"/>
    </row>
    <row r="223" spans="1:8" ht="13.8">
      <c r="A223" s="29"/>
      <c r="B223" s="62"/>
      <c r="C223" s="61"/>
      <c r="D223" s="5"/>
      <c r="E223" s="5"/>
      <c r="F223" s="5"/>
      <c r="G223" s="2"/>
      <c r="H223" s="48"/>
    </row>
    <row r="224" spans="1:8" ht="13.8">
      <c r="A224" s="29"/>
      <c r="B224" s="62"/>
      <c r="C224" s="61"/>
      <c r="D224" s="5"/>
      <c r="E224" s="5"/>
      <c r="F224" s="5"/>
      <c r="G224" s="2"/>
      <c r="H224" s="48"/>
    </row>
    <row r="225" spans="1:8" ht="13.8">
      <c r="A225" s="29"/>
      <c r="B225" s="62"/>
      <c r="C225" s="61"/>
      <c r="D225" s="5"/>
      <c r="E225" s="5"/>
      <c r="F225" s="5"/>
      <c r="G225" s="2"/>
      <c r="H225" s="48"/>
    </row>
    <row r="226" spans="1:8" ht="13.8">
      <c r="A226" s="29"/>
      <c r="B226" s="62"/>
      <c r="C226" s="61"/>
      <c r="D226" s="5"/>
      <c r="E226" s="5"/>
      <c r="F226" s="5"/>
      <c r="G226" s="2"/>
      <c r="H226" s="48"/>
    </row>
    <row r="227" spans="1:8" ht="13.8">
      <c r="A227" s="29"/>
      <c r="B227" s="62"/>
      <c r="C227" s="61"/>
      <c r="D227" s="5"/>
      <c r="E227" s="5"/>
      <c r="F227" s="5"/>
      <c r="G227" s="2"/>
      <c r="H227" s="48"/>
    </row>
    <row r="228" spans="1:8" ht="13.8">
      <c r="A228" s="29"/>
      <c r="B228" s="62"/>
      <c r="C228" s="61"/>
      <c r="D228" s="5"/>
      <c r="E228" s="5"/>
      <c r="F228" s="5"/>
      <c r="G228" s="2"/>
      <c r="H228" s="48"/>
    </row>
    <row r="229" spans="1:8" ht="13.8">
      <c r="A229" s="29"/>
      <c r="B229" s="62"/>
      <c r="C229" s="61"/>
      <c r="D229" s="5"/>
      <c r="E229" s="5"/>
      <c r="F229" s="5"/>
      <c r="G229" s="2"/>
      <c r="H229" s="48"/>
    </row>
    <row r="230" spans="1:8" ht="13.8">
      <c r="A230" s="29"/>
      <c r="B230" s="62"/>
      <c r="C230" s="61"/>
      <c r="D230" s="5"/>
      <c r="E230" s="5"/>
      <c r="F230" s="5"/>
      <c r="G230" s="2"/>
      <c r="H230" s="48"/>
    </row>
    <row r="231" spans="1:8" ht="13.8">
      <c r="A231" s="29"/>
      <c r="B231" s="62"/>
      <c r="C231" s="61"/>
      <c r="D231" s="5"/>
      <c r="E231" s="5"/>
      <c r="F231" s="5"/>
      <c r="G231" s="2"/>
      <c r="H231" s="48"/>
    </row>
    <row r="232" spans="1:8" ht="13.8">
      <c r="A232" s="29"/>
      <c r="B232" s="62"/>
      <c r="C232" s="61"/>
      <c r="D232" s="5"/>
      <c r="E232" s="5"/>
      <c r="F232" s="5"/>
      <c r="G232" s="2"/>
      <c r="H232" s="48"/>
    </row>
    <row r="233" spans="1:8" ht="13.8">
      <c r="A233" s="29"/>
      <c r="B233" s="62"/>
      <c r="C233" s="61"/>
      <c r="D233" s="5"/>
      <c r="E233" s="5"/>
      <c r="F233" s="5"/>
      <c r="G233" s="2"/>
      <c r="H233" s="48"/>
    </row>
    <row r="234" spans="1:8" ht="13.8">
      <c r="A234" s="29"/>
      <c r="B234" s="62"/>
      <c r="C234" s="61"/>
      <c r="D234" s="5"/>
      <c r="E234" s="5"/>
      <c r="F234" s="5"/>
      <c r="G234" s="2"/>
      <c r="H234" s="48"/>
    </row>
    <row r="235" spans="1:8" ht="13.8">
      <c r="A235" s="29"/>
      <c r="B235" s="62"/>
      <c r="C235" s="61"/>
      <c r="D235" s="5"/>
      <c r="E235" s="5"/>
      <c r="F235" s="5"/>
      <c r="G235" s="2"/>
      <c r="H235" s="48"/>
    </row>
    <row r="236" spans="1:8" ht="13.8">
      <c r="A236" s="29"/>
      <c r="B236" s="62"/>
      <c r="C236" s="61"/>
      <c r="D236" s="5"/>
      <c r="E236" s="5"/>
      <c r="F236" s="5"/>
      <c r="G236" s="2"/>
      <c r="H236" s="48"/>
    </row>
    <row r="237" spans="1:8" ht="13.8">
      <c r="A237" s="29"/>
      <c r="B237" s="62"/>
      <c r="C237" s="61"/>
      <c r="D237" s="5"/>
      <c r="E237" s="5"/>
      <c r="F237" s="5"/>
      <c r="G237" s="2"/>
      <c r="H237" s="48"/>
    </row>
    <row r="238" spans="1:8" ht="13.8">
      <c r="A238" s="29"/>
      <c r="B238" s="62"/>
      <c r="C238" s="61"/>
      <c r="D238" s="5"/>
      <c r="E238" s="5"/>
      <c r="F238" s="5"/>
      <c r="G238" s="2"/>
      <c r="H238" s="48"/>
    </row>
    <row r="239" spans="1:8" ht="13.8">
      <c r="A239" s="29"/>
      <c r="B239" s="62"/>
      <c r="C239" s="61"/>
      <c r="D239" s="5"/>
      <c r="E239" s="5"/>
      <c r="F239" s="5"/>
      <c r="G239" s="2"/>
      <c r="H239" s="48"/>
    </row>
    <row r="240" spans="1:8" ht="13.8">
      <c r="A240" s="29"/>
      <c r="B240" s="62"/>
      <c r="C240" s="61"/>
      <c r="D240" s="5"/>
      <c r="E240" s="5"/>
      <c r="F240" s="5"/>
      <c r="G240" s="2"/>
      <c r="H240" s="48"/>
    </row>
    <row r="241" spans="1:8" ht="13.8">
      <c r="A241" s="29"/>
      <c r="B241" s="62"/>
      <c r="C241" s="61"/>
      <c r="D241" s="5"/>
      <c r="E241" s="5"/>
      <c r="F241" s="5"/>
      <c r="G241" s="2"/>
      <c r="H241" s="48"/>
    </row>
    <row r="242" spans="1:8" ht="13.8">
      <c r="A242" s="29"/>
      <c r="B242" s="62"/>
      <c r="C242" s="61"/>
      <c r="D242" s="5"/>
      <c r="E242" s="5"/>
      <c r="F242" s="5"/>
      <c r="G242" s="2"/>
      <c r="H242" s="48"/>
    </row>
    <row r="243" spans="1:8" ht="13.8">
      <c r="A243" s="29"/>
      <c r="B243" s="62"/>
      <c r="C243" s="61"/>
      <c r="D243" s="5"/>
      <c r="E243" s="5"/>
      <c r="F243" s="5"/>
      <c r="G243" s="2"/>
      <c r="H243" s="48"/>
    </row>
    <row r="244" spans="1:8" ht="13.8">
      <c r="A244" s="29"/>
      <c r="B244" s="62"/>
      <c r="C244" s="61"/>
      <c r="D244" s="5"/>
      <c r="E244" s="5"/>
      <c r="F244" s="5"/>
      <c r="G244" s="2"/>
      <c r="H244" s="48"/>
    </row>
    <row r="245" spans="1:8" ht="13.8">
      <c r="A245" s="29"/>
      <c r="B245" s="62"/>
      <c r="C245" s="61"/>
      <c r="D245" s="5"/>
      <c r="E245" s="5"/>
      <c r="F245" s="5"/>
      <c r="G245" s="2"/>
      <c r="H245" s="48"/>
    </row>
    <row r="246" spans="1:8" ht="13.8">
      <c r="A246" s="29"/>
      <c r="B246" s="62"/>
      <c r="C246" s="61"/>
      <c r="D246" s="5"/>
      <c r="E246" s="5"/>
      <c r="F246" s="5"/>
      <c r="G246" s="2"/>
      <c r="H246" s="48"/>
    </row>
    <row r="247" spans="1:8" ht="13.8">
      <c r="A247" s="29"/>
      <c r="B247" s="62"/>
      <c r="C247" s="61"/>
      <c r="D247" s="5"/>
      <c r="E247" s="5"/>
      <c r="F247" s="5"/>
      <c r="G247" s="2"/>
      <c r="H247" s="48"/>
    </row>
    <row r="248" spans="1:8" ht="13.8">
      <c r="A248" s="29"/>
      <c r="B248" s="62"/>
      <c r="C248" s="61"/>
      <c r="D248" s="5"/>
      <c r="E248" s="5"/>
      <c r="F248" s="5"/>
      <c r="G248" s="2"/>
      <c r="H248" s="48"/>
    </row>
    <row r="249" spans="1:8" ht="13.8">
      <c r="A249" s="29"/>
      <c r="B249" s="62"/>
      <c r="C249" s="61"/>
      <c r="D249" s="5"/>
      <c r="E249" s="5"/>
      <c r="F249" s="5"/>
      <c r="G249" s="2"/>
      <c r="H249" s="48"/>
    </row>
    <row r="250" spans="1:8" ht="13.8">
      <c r="A250" s="29"/>
      <c r="B250" s="62"/>
      <c r="C250" s="61"/>
      <c r="D250" s="5"/>
      <c r="E250" s="5"/>
      <c r="F250" s="5"/>
      <c r="G250" s="2"/>
      <c r="H250" s="48"/>
    </row>
    <row r="251" spans="1:8" ht="13.8">
      <c r="A251" s="29"/>
      <c r="B251" s="62"/>
      <c r="C251" s="61"/>
      <c r="D251" s="5"/>
      <c r="E251" s="5"/>
      <c r="F251" s="5"/>
      <c r="G251" s="2"/>
      <c r="H251" s="48"/>
    </row>
    <row r="252" spans="1:8" ht="13.8">
      <c r="A252" s="29"/>
      <c r="B252" s="62"/>
      <c r="C252" s="61"/>
      <c r="D252" s="5"/>
      <c r="E252" s="5"/>
      <c r="F252" s="5"/>
      <c r="G252" s="2"/>
      <c r="H252" s="48"/>
    </row>
    <row r="253" spans="1:8" ht="13.8">
      <c r="A253" s="29"/>
      <c r="B253" s="62"/>
      <c r="C253" s="61"/>
      <c r="D253" s="5"/>
      <c r="E253" s="5"/>
      <c r="F253" s="5"/>
      <c r="G253" s="2"/>
      <c r="H253" s="48"/>
    </row>
    <row r="254" spans="1:8" ht="13.8">
      <c r="A254" s="29"/>
      <c r="B254" s="62"/>
      <c r="C254" s="61"/>
      <c r="D254" s="5"/>
      <c r="E254" s="5"/>
      <c r="F254" s="5"/>
      <c r="G254" s="2"/>
      <c r="H254" s="48"/>
    </row>
    <row r="255" spans="1:8" ht="13.8">
      <c r="A255" s="29"/>
      <c r="B255" s="62"/>
      <c r="C255" s="61"/>
      <c r="D255" s="5"/>
      <c r="E255" s="5"/>
      <c r="F255" s="5"/>
      <c r="G255" s="2"/>
      <c r="H255" s="48"/>
    </row>
    <row r="256" spans="1:8" ht="13.8">
      <c r="A256" s="29"/>
      <c r="B256" s="62"/>
      <c r="C256" s="61"/>
      <c r="D256" s="5"/>
      <c r="E256" s="5"/>
      <c r="F256" s="5"/>
      <c r="G256" s="2"/>
      <c r="H256" s="48"/>
    </row>
    <row r="257" spans="1:8" ht="13.8">
      <c r="A257" s="29"/>
      <c r="B257" s="62"/>
      <c r="C257" s="61"/>
      <c r="D257" s="5"/>
      <c r="E257" s="5"/>
      <c r="F257" s="5"/>
      <c r="G257" s="2"/>
      <c r="H257" s="48"/>
    </row>
    <row r="258" spans="1:8" ht="13.8">
      <c r="A258" s="29"/>
      <c r="B258" s="62"/>
      <c r="C258" s="61"/>
      <c r="D258" s="5"/>
      <c r="E258" s="5"/>
      <c r="F258" s="5"/>
      <c r="G258" s="2"/>
      <c r="H258" s="48"/>
    </row>
    <row r="259" spans="1:8" ht="13.8">
      <c r="A259" s="29"/>
      <c r="B259" s="62"/>
      <c r="C259" s="61"/>
      <c r="D259" s="5"/>
      <c r="E259" s="5"/>
      <c r="F259" s="5"/>
      <c r="G259" s="2"/>
      <c r="H259" s="48"/>
    </row>
    <row r="260" spans="1:8" ht="13.8">
      <c r="A260" s="29"/>
      <c r="B260" s="62"/>
      <c r="C260" s="61"/>
      <c r="D260" s="5"/>
      <c r="E260" s="5"/>
      <c r="F260" s="5"/>
      <c r="G260" s="2"/>
      <c r="H260" s="48"/>
    </row>
    <row r="261" spans="1:8" ht="13.8">
      <c r="A261" s="29"/>
      <c r="B261" s="62"/>
      <c r="C261" s="61"/>
      <c r="D261" s="5"/>
      <c r="E261" s="5"/>
      <c r="F261" s="5"/>
      <c r="G261" s="2"/>
      <c r="H261" s="48"/>
    </row>
    <row r="262" spans="1:8" ht="13.8">
      <c r="A262" s="29"/>
      <c r="B262" s="62"/>
      <c r="C262" s="61"/>
      <c r="D262" s="5"/>
      <c r="E262" s="5"/>
      <c r="F262" s="5"/>
      <c r="G262" s="2"/>
      <c r="H262" s="48"/>
    </row>
    <row r="263" spans="1:8" ht="13.8">
      <c r="A263" s="29"/>
      <c r="B263" s="62"/>
      <c r="C263" s="61"/>
      <c r="D263" s="5"/>
      <c r="E263" s="5"/>
      <c r="F263" s="5"/>
      <c r="G263" s="2"/>
      <c r="H263" s="48"/>
    </row>
    <row r="264" spans="1:8" ht="13.8">
      <c r="A264" s="29"/>
      <c r="B264" s="62"/>
      <c r="C264" s="61"/>
      <c r="D264" s="5"/>
      <c r="E264" s="5"/>
      <c r="F264" s="5"/>
      <c r="G264" s="2"/>
      <c r="H264" s="48"/>
    </row>
    <row r="265" spans="1:8" ht="13.8">
      <c r="A265" s="29"/>
      <c r="B265" s="62"/>
      <c r="C265" s="61"/>
      <c r="D265" s="5"/>
      <c r="E265" s="5"/>
      <c r="F265" s="5"/>
      <c r="G265" s="2"/>
      <c r="H265" s="48"/>
    </row>
    <row r="266" spans="1:8" ht="13.8">
      <c r="A266" s="29"/>
      <c r="B266" s="62"/>
      <c r="C266" s="61"/>
      <c r="D266" s="5"/>
      <c r="E266" s="5"/>
      <c r="F266" s="5"/>
      <c r="G266" s="2"/>
      <c r="H266" s="48"/>
    </row>
    <row r="267" spans="1:8" ht="13.8">
      <c r="A267" s="29"/>
      <c r="B267" s="62"/>
      <c r="C267" s="61"/>
      <c r="D267" s="5"/>
      <c r="E267" s="5"/>
      <c r="F267" s="5"/>
      <c r="G267" s="2"/>
      <c r="H267" s="48"/>
    </row>
    <row r="268" spans="1:8" ht="13.8">
      <c r="A268" s="29"/>
      <c r="B268" s="62"/>
      <c r="C268" s="61"/>
      <c r="D268" s="5"/>
      <c r="E268" s="5"/>
      <c r="F268" s="5"/>
      <c r="G268" s="2"/>
      <c r="H268" s="48"/>
    </row>
    <row r="269" spans="1:8" ht="13.8">
      <c r="A269" s="29"/>
      <c r="B269" s="62"/>
      <c r="C269" s="61"/>
      <c r="D269" s="5"/>
      <c r="E269" s="5"/>
      <c r="F269" s="5"/>
      <c r="G269" s="2"/>
      <c r="H269" s="48"/>
    </row>
    <row r="270" spans="1:8" ht="13.8">
      <c r="A270" s="29"/>
      <c r="B270" s="62"/>
      <c r="C270" s="61"/>
      <c r="D270" s="5"/>
      <c r="E270" s="5"/>
      <c r="F270" s="5"/>
      <c r="G270" s="2"/>
      <c r="H270" s="48"/>
    </row>
    <row r="271" spans="1:8" ht="13.8">
      <c r="A271" s="29"/>
      <c r="B271" s="62"/>
      <c r="C271" s="61"/>
      <c r="D271" s="5"/>
      <c r="E271" s="5"/>
      <c r="F271" s="5"/>
      <c r="G271" s="2"/>
      <c r="H271" s="48"/>
    </row>
    <row r="272" spans="1:8" ht="13.8">
      <c r="A272" s="29"/>
      <c r="B272" s="62"/>
      <c r="C272" s="61"/>
      <c r="D272" s="5"/>
      <c r="E272" s="5"/>
      <c r="F272" s="5"/>
      <c r="G272" s="2"/>
      <c r="H272" s="48"/>
    </row>
    <row r="273" spans="1:8" ht="13.8">
      <c r="A273" s="29"/>
      <c r="B273" s="62"/>
      <c r="C273" s="61"/>
      <c r="D273" s="5"/>
      <c r="E273" s="5"/>
      <c r="F273" s="5"/>
      <c r="G273" s="2"/>
      <c r="H273" s="48"/>
    </row>
    <row r="274" spans="1:8" ht="13.8">
      <c r="A274" s="29"/>
      <c r="B274" s="62"/>
      <c r="C274" s="61"/>
      <c r="D274" s="5"/>
      <c r="E274" s="5"/>
      <c r="F274" s="5"/>
      <c r="G274" s="2"/>
      <c r="H274" s="48"/>
    </row>
    <row r="275" spans="1:8" ht="13.8">
      <c r="A275" s="29"/>
      <c r="B275" s="62"/>
      <c r="C275" s="61"/>
      <c r="D275" s="5"/>
      <c r="E275" s="5"/>
      <c r="F275" s="5"/>
      <c r="G275" s="2"/>
      <c r="H275" s="48"/>
    </row>
    <row r="276" spans="1:8" ht="13.8">
      <c r="A276" s="29"/>
      <c r="B276" s="62"/>
      <c r="C276" s="61"/>
      <c r="D276" s="5"/>
      <c r="E276" s="5"/>
      <c r="F276" s="5"/>
      <c r="G276" s="2"/>
      <c r="H276" s="48"/>
    </row>
    <row r="277" spans="1:8" ht="13.8">
      <c r="A277" s="29"/>
      <c r="B277" s="62"/>
      <c r="C277" s="61"/>
      <c r="D277" s="5"/>
      <c r="E277" s="5"/>
      <c r="F277" s="5"/>
      <c r="G277" s="2"/>
      <c r="H277" s="48"/>
    </row>
    <row r="278" spans="1:8" ht="13.8">
      <c r="A278" s="29"/>
      <c r="B278" s="62"/>
      <c r="C278" s="61"/>
      <c r="D278" s="5"/>
      <c r="E278" s="5"/>
      <c r="F278" s="5"/>
      <c r="G278" s="2"/>
      <c r="H278" s="48"/>
    </row>
    <row r="279" spans="1:8" ht="13.8">
      <c r="A279" s="29"/>
      <c r="B279" s="62"/>
      <c r="C279" s="61"/>
      <c r="D279" s="5"/>
      <c r="E279" s="5"/>
      <c r="F279" s="5"/>
      <c r="G279" s="2"/>
      <c r="H279" s="48"/>
    </row>
    <row r="280" spans="1:8" ht="13.8">
      <c r="A280" s="29"/>
      <c r="B280" s="62"/>
      <c r="C280" s="61"/>
      <c r="D280" s="5"/>
      <c r="E280" s="5"/>
      <c r="F280" s="5"/>
      <c r="G280" s="2"/>
      <c r="H280" s="48"/>
    </row>
    <row r="281" spans="1:8" ht="13.8">
      <c r="A281" s="29"/>
      <c r="B281" s="62"/>
      <c r="C281" s="61"/>
      <c r="D281" s="5"/>
      <c r="E281" s="5"/>
      <c r="F281" s="5"/>
      <c r="G281" s="2"/>
      <c r="H281" s="48"/>
    </row>
    <row r="282" spans="1:8" ht="13.8">
      <c r="A282" s="29"/>
      <c r="B282" s="62"/>
      <c r="C282" s="61"/>
      <c r="D282" s="5"/>
      <c r="E282" s="5"/>
      <c r="F282" s="5"/>
      <c r="G282" s="2"/>
      <c r="H282" s="48"/>
    </row>
    <row r="283" spans="1:8" ht="13.8">
      <c r="A283" s="29"/>
      <c r="B283" s="62"/>
      <c r="C283" s="61"/>
      <c r="D283" s="5"/>
      <c r="E283" s="5"/>
      <c r="F283" s="5"/>
      <c r="G283" s="2"/>
      <c r="H283" s="48"/>
    </row>
    <row r="284" spans="1:8" ht="13.8">
      <c r="A284" s="29"/>
      <c r="B284" s="62"/>
      <c r="C284" s="61"/>
      <c r="D284" s="5"/>
      <c r="E284" s="5"/>
      <c r="F284" s="5"/>
      <c r="G284" s="2"/>
      <c r="H284" s="48"/>
    </row>
    <row r="285" spans="1:8" ht="13.8">
      <c r="A285" s="29"/>
      <c r="B285" s="62"/>
      <c r="C285" s="61"/>
      <c r="D285" s="5"/>
      <c r="E285" s="5"/>
      <c r="F285" s="5"/>
      <c r="G285" s="2"/>
      <c r="H285" s="48"/>
    </row>
    <row r="286" spans="1:8" ht="13.8">
      <c r="A286" s="29"/>
      <c r="B286" s="62"/>
      <c r="C286" s="61"/>
      <c r="D286" s="5"/>
      <c r="E286" s="5"/>
      <c r="F286" s="5"/>
      <c r="G286" s="2"/>
      <c r="H286" s="48"/>
    </row>
    <row r="287" spans="1:8" ht="13.8">
      <c r="A287" s="29"/>
      <c r="B287" s="62"/>
      <c r="C287" s="61"/>
      <c r="D287" s="5"/>
      <c r="E287" s="5"/>
      <c r="F287" s="5"/>
      <c r="G287" s="2"/>
      <c r="H287" s="48"/>
    </row>
    <row r="288" spans="1:8" ht="13.8">
      <c r="A288" s="29"/>
      <c r="B288" s="62"/>
      <c r="C288" s="61"/>
      <c r="D288" s="5"/>
      <c r="E288" s="5"/>
      <c r="F288" s="5"/>
      <c r="G288" s="2"/>
      <c r="H288" s="48"/>
    </row>
    <row r="289" spans="1:8" ht="13.8">
      <c r="A289" s="29"/>
      <c r="B289" s="62"/>
      <c r="C289" s="61"/>
      <c r="D289" s="5"/>
      <c r="E289" s="5"/>
      <c r="F289" s="5"/>
      <c r="G289" s="2"/>
      <c r="H289" s="48"/>
    </row>
    <row r="290" spans="1:8" ht="13.8">
      <c r="A290" s="29"/>
      <c r="B290" s="62"/>
      <c r="C290" s="61"/>
      <c r="D290" s="5"/>
      <c r="E290" s="5"/>
      <c r="F290" s="5"/>
      <c r="G290" s="2"/>
      <c r="H290" s="48"/>
    </row>
    <row r="291" spans="1:8" ht="13.8">
      <c r="A291" s="29"/>
      <c r="B291" s="62"/>
      <c r="C291" s="61"/>
      <c r="D291" s="5"/>
      <c r="E291" s="5"/>
      <c r="F291" s="5"/>
      <c r="G291" s="2"/>
      <c r="H291" s="48"/>
    </row>
    <row r="292" spans="1:8" ht="13.8">
      <c r="A292" s="29"/>
      <c r="B292" s="62"/>
      <c r="C292" s="61"/>
      <c r="D292" s="5"/>
      <c r="E292" s="5"/>
      <c r="F292" s="5"/>
      <c r="G292" s="2"/>
      <c r="H292" s="48"/>
    </row>
    <row r="293" spans="1:8" ht="13.8">
      <c r="A293" s="29"/>
      <c r="B293" s="62"/>
      <c r="C293" s="61"/>
      <c r="D293" s="5"/>
      <c r="E293" s="5"/>
      <c r="F293" s="5"/>
      <c r="G293" s="2"/>
      <c r="H293" s="48"/>
    </row>
    <row r="294" spans="1:8" ht="13.8">
      <c r="A294" s="29"/>
      <c r="B294" s="62"/>
      <c r="C294" s="61"/>
      <c r="D294" s="5"/>
      <c r="E294" s="5"/>
      <c r="F294" s="5"/>
      <c r="G294" s="2"/>
      <c r="H294" s="48"/>
    </row>
    <row r="295" spans="1:8" ht="13.8">
      <c r="A295" s="29"/>
      <c r="B295" s="62"/>
      <c r="C295" s="61"/>
      <c r="D295" s="5"/>
      <c r="E295" s="5"/>
      <c r="F295" s="5"/>
      <c r="G295" s="2"/>
      <c r="H295" s="48"/>
    </row>
    <row r="296" spans="1:8" ht="13.8">
      <c r="A296" s="29"/>
      <c r="B296" s="62"/>
      <c r="C296" s="61"/>
      <c r="D296" s="5"/>
      <c r="E296" s="5"/>
      <c r="F296" s="5"/>
      <c r="G296" s="2"/>
      <c r="H296" s="48"/>
    </row>
    <row r="297" spans="1:8" ht="13.8">
      <c r="A297" s="29"/>
      <c r="B297" s="62"/>
      <c r="C297" s="61"/>
      <c r="D297" s="5"/>
      <c r="E297" s="5"/>
      <c r="F297" s="5"/>
      <c r="G297" s="2"/>
      <c r="H297" s="48"/>
    </row>
    <row r="298" spans="1:8" ht="13.8">
      <c r="A298" s="29"/>
      <c r="B298" s="62"/>
      <c r="C298" s="61"/>
      <c r="D298" s="5"/>
      <c r="E298" s="5"/>
      <c r="F298" s="5"/>
      <c r="G298" s="2"/>
      <c r="H298" s="48"/>
    </row>
    <row r="299" spans="1:8" ht="13.8">
      <c r="A299" s="29"/>
      <c r="B299" s="62"/>
      <c r="C299" s="61"/>
      <c r="D299" s="5"/>
      <c r="E299" s="5"/>
      <c r="F299" s="5"/>
      <c r="G299" s="2"/>
      <c r="H299" s="48"/>
    </row>
    <row r="300" spans="1:8" ht="13.8">
      <c r="A300" s="29"/>
      <c r="B300" s="62"/>
      <c r="C300" s="61"/>
      <c r="D300" s="5"/>
      <c r="E300" s="5"/>
      <c r="F300" s="5"/>
      <c r="G300" s="2"/>
      <c r="H300" s="48"/>
    </row>
    <row r="301" spans="1:8" ht="13.8">
      <c r="A301" s="29"/>
      <c r="B301" s="62"/>
      <c r="C301" s="61"/>
      <c r="D301" s="5"/>
      <c r="E301" s="5"/>
      <c r="F301" s="5"/>
      <c r="G301" s="2"/>
      <c r="H301" s="48"/>
    </row>
    <row r="302" spans="1:8" ht="13.8">
      <c r="A302" s="29"/>
      <c r="B302" s="62"/>
      <c r="C302" s="61"/>
      <c r="D302" s="5"/>
      <c r="E302" s="5"/>
      <c r="F302" s="5"/>
      <c r="G302" s="2"/>
      <c r="H302" s="48"/>
    </row>
    <row r="303" spans="1:8" ht="13.8">
      <c r="A303" s="29"/>
      <c r="B303" s="62"/>
      <c r="C303" s="61"/>
      <c r="D303" s="5"/>
      <c r="E303" s="5"/>
      <c r="F303" s="5"/>
      <c r="G303" s="2"/>
      <c r="H303" s="48"/>
    </row>
    <row r="304" spans="1:8" ht="13.8">
      <c r="A304" s="29"/>
      <c r="B304" s="62"/>
      <c r="C304" s="61"/>
      <c r="D304" s="5"/>
      <c r="E304" s="5"/>
      <c r="F304" s="5"/>
      <c r="G304" s="2"/>
      <c r="H304" s="48"/>
    </row>
    <row r="305" spans="1:8" ht="13.8">
      <c r="A305" s="29"/>
      <c r="B305" s="62"/>
      <c r="C305" s="61"/>
      <c r="D305" s="5"/>
      <c r="E305" s="5"/>
      <c r="F305" s="5"/>
      <c r="G305" s="2"/>
      <c r="H305" s="48"/>
    </row>
    <row r="306" spans="1:8" ht="13.8">
      <c r="A306" s="29"/>
      <c r="B306" s="62"/>
      <c r="C306" s="61"/>
      <c r="D306" s="5"/>
      <c r="E306" s="5"/>
      <c r="F306" s="5"/>
      <c r="G306" s="2"/>
      <c r="H306" s="48"/>
    </row>
    <row r="307" spans="1:8" ht="13.8">
      <c r="A307" s="29"/>
      <c r="B307" s="62"/>
      <c r="C307" s="61"/>
      <c r="D307" s="5"/>
      <c r="E307" s="5"/>
      <c r="F307" s="5"/>
      <c r="G307" s="2"/>
      <c r="H307" s="48"/>
    </row>
    <row r="308" spans="1:8" ht="13.8">
      <c r="A308" s="29"/>
      <c r="B308" s="62"/>
      <c r="C308" s="61"/>
      <c r="D308" s="5"/>
      <c r="E308" s="5"/>
      <c r="F308" s="5"/>
      <c r="G308" s="2"/>
      <c r="H308" s="48"/>
    </row>
    <row r="309" spans="1:8" ht="13.8">
      <c r="A309" s="29"/>
      <c r="B309" s="62"/>
      <c r="C309" s="61"/>
      <c r="D309" s="5"/>
      <c r="E309" s="5"/>
      <c r="F309" s="5"/>
      <c r="G309" s="2"/>
      <c r="H309" s="48"/>
    </row>
    <row r="310" spans="1:8" ht="13.8">
      <c r="A310" s="29"/>
      <c r="B310" s="62"/>
      <c r="C310" s="61"/>
      <c r="D310" s="5"/>
      <c r="E310" s="5"/>
      <c r="F310" s="5"/>
      <c r="G310" s="2"/>
      <c r="H310" s="48"/>
    </row>
    <row r="311" spans="1:8" ht="13.8">
      <c r="A311" s="29"/>
      <c r="B311" s="62"/>
      <c r="C311" s="61"/>
      <c r="D311" s="5"/>
      <c r="E311" s="5"/>
      <c r="F311" s="5"/>
      <c r="G311" s="2"/>
      <c r="H311" s="48"/>
    </row>
    <row r="312" spans="1:8" ht="13.8">
      <c r="A312" s="29"/>
      <c r="B312" s="62"/>
      <c r="C312" s="61"/>
      <c r="D312" s="5"/>
      <c r="E312" s="5"/>
      <c r="F312" s="5"/>
      <c r="G312" s="2"/>
      <c r="H312" s="48"/>
    </row>
    <row r="313" spans="1:8" ht="13.8">
      <c r="A313" s="29"/>
      <c r="B313" s="62"/>
      <c r="C313" s="61"/>
      <c r="D313" s="5"/>
      <c r="E313" s="5"/>
      <c r="F313" s="5"/>
      <c r="G313" s="2"/>
      <c r="H313" s="48"/>
    </row>
    <row r="314" spans="1:8" ht="13.8">
      <c r="A314" s="29"/>
      <c r="B314" s="62"/>
      <c r="C314" s="61"/>
      <c r="D314" s="5"/>
      <c r="E314" s="5"/>
      <c r="F314" s="5"/>
      <c r="G314" s="2"/>
      <c r="H314" s="48"/>
    </row>
    <row r="315" spans="1:8" ht="13.8">
      <c r="A315" s="29"/>
      <c r="B315" s="62"/>
      <c r="C315" s="61"/>
      <c r="D315" s="5"/>
      <c r="E315" s="5"/>
      <c r="F315" s="5"/>
      <c r="G315" s="2"/>
      <c r="H315" s="48"/>
    </row>
    <row r="316" spans="1:8" ht="13.8">
      <c r="A316" s="29"/>
      <c r="B316" s="62"/>
      <c r="C316" s="61"/>
      <c r="D316" s="5"/>
      <c r="E316" s="5"/>
      <c r="F316" s="5"/>
      <c r="G316" s="2"/>
      <c r="H316" s="48"/>
    </row>
    <row r="317" spans="1:8" ht="13.8">
      <c r="A317" s="29"/>
      <c r="B317" s="62"/>
      <c r="C317" s="61"/>
      <c r="D317" s="5"/>
      <c r="E317" s="5"/>
      <c r="F317" s="5"/>
      <c r="G317" s="2"/>
      <c r="H317" s="48"/>
    </row>
    <row r="318" spans="1:8" ht="13.8">
      <c r="A318" s="29"/>
      <c r="B318" s="62"/>
      <c r="C318" s="61"/>
      <c r="D318" s="5"/>
      <c r="E318" s="5"/>
      <c r="F318" s="5"/>
      <c r="G318" s="2"/>
      <c r="H318" s="48"/>
    </row>
    <row r="319" spans="1:8" ht="13.8">
      <c r="A319" s="29"/>
      <c r="B319" s="62"/>
      <c r="C319" s="61"/>
      <c r="D319" s="5"/>
      <c r="E319" s="5"/>
      <c r="F319" s="5"/>
      <c r="G319" s="2"/>
      <c r="H319" s="48"/>
    </row>
    <row r="320" spans="1:8" ht="13.8">
      <c r="A320" s="29"/>
      <c r="B320" s="62"/>
      <c r="C320" s="61"/>
      <c r="D320" s="5"/>
      <c r="E320" s="5"/>
      <c r="F320" s="5"/>
      <c r="G320" s="2"/>
      <c r="H320" s="48"/>
    </row>
    <row r="321" spans="1:8" ht="13.8">
      <c r="A321" s="29"/>
      <c r="B321" s="62"/>
      <c r="C321" s="61"/>
      <c r="D321" s="5"/>
      <c r="E321" s="5"/>
      <c r="F321" s="5"/>
      <c r="G321" s="2"/>
      <c r="H321" s="48"/>
    </row>
    <row r="322" spans="1:8" ht="13.8">
      <c r="A322" s="29"/>
      <c r="B322" s="62"/>
      <c r="C322" s="61"/>
      <c r="D322" s="5"/>
      <c r="E322" s="5"/>
      <c r="F322" s="5"/>
      <c r="G322" s="2"/>
      <c r="H322" s="48"/>
    </row>
    <row r="323" spans="1:8" ht="13.8">
      <c r="A323" s="29"/>
      <c r="B323" s="62"/>
      <c r="C323" s="61"/>
      <c r="D323" s="5"/>
      <c r="E323" s="5"/>
      <c r="F323" s="5"/>
      <c r="G323" s="2"/>
      <c r="H323" s="48"/>
    </row>
    <row r="324" spans="1:8" ht="13.8">
      <c r="A324" s="29"/>
      <c r="B324" s="62"/>
      <c r="C324" s="61"/>
      <c r="D324" s="5"/>
      <c r="E324" s="5"/>
      <c r="F324" s="5"/>
      <c r="G324" s="2"/>
      <c r="H324" s="48"/>
    </row>
    <row r="325" spans="1:8" ht="13.8">
      <c r="A325" s="29"/>
      <c r="B325" s="62"/>
      <c r="C325" s="61"/>
      <c r="D325" s="5"/>
      <c r="E325" s="5"/>
      <c r="F325" s="5"/>
      <c r="G325" s="2"/>
      <c r="H325" s="48"/>
    </row>
    <row r="326" spans="1:8" ht="13.8">
      <c r="A326" s="29"/>
      <c r="B326" s="62"/>
      <c r="C326" s="61"/>
      <c r="D326" s="5"/>
      <c r="E326" s="5"/>
      <c r="F326" s="5"/>
      <c r="G326" s="2"/>
      <c r="H326" s="48"/>
    </row>
    <row r="327" spans="1:8" ht="13.8">
      <c r="A327" s="29"/>
      <c r="B327" s="62"/>
      <c r="C327" s="61"/>
      <c r="D327" s="5"/>
      <c r="E327" s="5"/>
      <c r="F327" s="5"/>
      <c r="G327" s="2"/>
      <c r="H327" s="48"/>
    </row>
    <row r="328" spans="1:8" ht="13.8">
      <c r="A328" s="29"/>
      <c r="B328" s="62"/>
      <c r="C328" s="61"/>
      <c r="D328" s="5"/>
      <c r="E328" s="5"/>
      <c r="F328" s="5"/>
      <c r="G328" s="2"/>
      <c r="H328" s="48"/>
    </row>
    <row r="329" spans="1:8" ht="13.8">
      <c r="A329" s="29"/>
      <c r="B329" s="62"/>
      <c r="C329" s="61"/>
      <c r="D329" s="5"/>
      <c r="E329" s="5"/>
      <c r="F329" s="5"/>
      <c r="G329" s="2"/>
      <c r="H329" s="48"/>
    </row>
    <row r="330" spans="1:8" ht="13.8">
      <c r="A330" s="29"/>
      <c r="B330" s="62"/>
      <c r="C330" s="61"/>
      <c r="D330" s="5"/>
      <c r="E330" s="5"/>
      <c r="F330" s="5"/>
      <c r="G330" s="2"/>
      <c r="H330" s="48"/>
    </row>
    <row r="331" spans="1:8" ht="13.8">
      <c r="A331" s="29"/>
      <c r="B331" s="62"/>
      <c r="C331" s="61"/>
      <c r="D331" s="5"/>
      <c r="E331" s="5"/>
      <c r="F331" s="5"/>
      <c r="G331" s="2"/>
      <c r="H331" s="48"/>
    </row>
    <row r="332" spans="1:8" ht="13.8">
      <c r="A332" s="29"/>
      <c r="B332" s="62"/>
      <c r="C332" s="61"/>
      <c r="D332" s="5"/>
      <c r="E332" s="5"/>
      <c r="F332" s="5"/>
      <c r="G332" s="2"/>
      <c r="H332" s="48"/>
    </row>
    <row r="333" spans="1:8" ht="13.8">
      <c r="A333" s="29"/>
      <c r="B333" s="62"/>
      <c r="C333" s="61"/>
      <c r="D333" s="5"/>
      <c r="E333" s="5"/>
      <c r="F333" s="5"/>
      <c r="G333" s="2"/>
      <c r="H333" s="48"/>
    </row>
    <row r="334" spans="1:8" ht="13.8">
      <c r="A334" s="29"/>
      <c r="B334" s="62"/>
      <c r="C334" s="61"/>
      <c r="D334" s="5"/>
      <c r="E334" s="5"/>
      <c r="F334" s="5"/>
      <c r="G334" s="2"/>
      <c r="H334" s="48"/>
    </row>
    <row r="335" spans="1:8" ht="13.8">
      <c r="A335" s="29"/>
      <c r="B335" s="62"/>
      <c r="C335" s="61"/>
      <c r="D335" s="5"/>
      <c r="E335" s="5"/>
      <c r="F335" s="5"/>
      <c r="G335" s="2"/>
      <c r="H335" s="48"/>
    </row>
    <row r="336" spans="1:8" ht="13.8">
      <c r="A336" s="29"/>
      <c r="B336" s="62"/>
      <c r="C336" s="61"/>
      <c r="D336" s="5"/>
      <c r="E336" s="5"/>
      <c r="F336" s="5"/>
      <c r="G336" s="2"/>
      <c r="H336" s="48"/>
    </row>
    <row r="337" spans="1:8" ht="13.8">
      <c r="A337" s="29"/>
      <c r="B337" s="62"/>
      <c r="C337" s="61"/>
      <c r="D337" s="5"/>
      <c r="E337" s="5"/>
      <c r="F337" s="5"/>
      <c r="G337" s="2"/>
      <c r="H337" s="48"/>
    </row>
    <row r="338" spans="1:8" ht="13.8">
      <c r="A338" s="29"/>
      <c r="B338" s="62"/>
      <c r="C338" s="61"/>
      <c r="D338" s="5"/>
      <c r="E338" s="5"/>
      <c r="F338" s="5"/>
      <c r="G338" s="2"/>
      <c r="H338" s="48"/>
    </row>
    <row r="339" spans="1:8" ht="13.8">
      <c r="A339" s="29"/>
      <c r="B339" s="62"/>
      <c r="C339" s="61"/>
      <c r="D339" s="5"/>
      <c r="E339" s="5"/>
      <c r="F339" s="5"/>
      <c r="G339" s="2"/>
      <c r="H339" s="48"/>
    </row>
    <row r="340" spans="1:8" ht="13.8">
      <c r="A340" s="29"/>
      <c r="B340" s="62"/>
      <c r="C340" s="61"/>
      <c r="D340" s="5"/>
      <c r="E340" s="5"/>
      <c r="F340" s="5"/>
      <c r="G340" s="2"/>
      <c r="H340" s="48"/>
    </row>
    <row r="341" spans="1:8" ht="13.8">
      <c r="A341" s="29"/>
      <c r="B341" s="62"/>
      <c r="C341" s="61"/>
      <c r="D341" s="5"/>
      <c r="E341" s="5"/>
      <c r="F341" s="5"/>
      <c r="G341" s="2"/>
      <c r="H341" s="48"/>
    </row>
    <row r="342" spans="1:8" ht="13.8">
      <c r="A342" s="29"/>
      <c r="B342" s="62"/>
      <c r="C342" s="61"/>
      <c r="D342" s="5"/>
      <c r="E342" s="5"/>
      <c r="F342" s="5"/>
      <c r="G342" s="2"/>
      <c r="H342" s="48"/>
    </row>
    <row r="343" spans="1:8" ht="13.8">
      <c r="A343" s="29"/>
      <c r="B343" s="62"/>
      <c r="C343" s="61"/>
      <c r="D343" s="5"/>
      <c r="E343" s="5"/>
      <c r="F343" s="5"/>
      <c r="G343" s="2"/>
      <c r="H343" s="48"/>
    </row>
    <row r="344" spans="1:8" ht="13.8">
      <c r="A344" s="29"/>
      <c r="B344" s="62"/>
      <c r="C344" s="61"/>
      <c r="D344" s="5"/>
      <c r="E344" s="5"/>
      <c r="F344" s="5"/>
      <c r="G344" s="2"/>
      <c r="H344" s="48"/>
    </row>
    <row r="345" spans="1:8" ht="13.8">
      <c r="A345" s="29"/>
      <c r="B345" s="62"/>
      <c r="C345" s="61"/>
      <c r="D345" s="5"/>
      <c r="E345" s="5"/>
      <c r="F345" s="5"/>
      <c r="G345" s="2"/>
      <c r="H345" s="48"/>
    </row>
    <row r="346" spans="1:8" ht="13.8">
      <c r="A346" s="29"/>
      <c r="B346" s="62"/>
      <c r="C346" s="61"/>
      <c r="D346" s="5"/>
      <c r="E346" s="5"/>
      <c r="F346" s="5"/>
      <c r="G346" s="2"/>
      <c r="H346" s="48"/>
    </row>
    <row r="347" spans="1:8" ht="13.8">
      <c r="A347" s="29"/>
      <c r="B347" s="62"/>
      <c r="C347" s="61"/>
      <c r="D347" s="5"/>
      <c r="E347" s="5"/>
      <c r="F347" s="5"/>
      <c r="G347" s="2"/>
      <c r="H347" s="48"/>
    </row>
    <row r="348" spans="1:8" ht="13.8">
      <c r="A348" s="29"/>
      <c r="B348" s="62"/>
      <c r="C348" s="61"/>
      <c r="D348" s="5"/>
      <c r="E348" s="5"/>
      <c r="F348" s="5"/>
      <c r="G348" s="2"/>
      <c r="H348" s="48"/>
    </row>
    <row r="349" spans="1:8" ht="13.8">
      <c r="A349" s="29"/>
      <c r="B349" s="62"/>
      <c r="C349" s="61"/>
      <c r="D349" s="5"/>
      <c r="E349" s="5"/>
      <c r="F349" s="5"/>
      <c r="G349" s="2"/>
      <c r="H349" s="48"/>
    </row>
    <row r="350" spans="1:8" ht="13.8">
      <c r="A350" s="29"/>
      <c r="B350" s="62"/>
      <c r="C350" s="61"/>
      <c r="D350" s="5"/>
      <c r="E350" s="5"/>
      <c r="F350" s="5"/>
      <c r="G350" s="2"/>
      <c r="H350" s="48"/>
    </row>
    <row r="351" spans="1:8" ht="13.8">
      <c r="A351" s="29"/>
      <c r="B351" s="62"/>
      <c r="C351" s="61"/>
      <c r="D351" s="5"/>
      <c r="E351" s="5"/>
      <c r="F351" s="5"/>
      <c r="G351" s="2"/>
      <c r="H351" s="48"/>
    </row>
    <row r="352" spans="1:8" ht="13.8">
      <c r="A352" s="29"/>
      <c r="B352" s="62"/>
      <c r="C352" s="61"/>
      <c r="D352" s="5"/>
      <c r="E352" s="5"/>
      <c r="F352" s="5"/>
      <c r="G352" s="2"/>
      <c r="H352" s="48"/>
    </row>
    <row r="353" spans="1:8" ht="13.8">
      <c r="A353" s="29"/>
      <c r="B353" s="62"/>
      <c r="C353" s="61"/>
      <c r="D353" s="5"/>
      <c r="E353" s="5"/>
      <c r="F353" s="5"/>
      <c r="G353" s="2"/>
      <c r="H353" s="48"/>
    </row>
    <row r="354" spans="1:8" ht="13.8">
      <c r="A354" s="29"/>
      <c r="B354" s="62"/>
      <c r="C354" s="61"/>
      <c r="D354" s="5"/>
      <c r="E354" s="5"/>
      <c r="F354" s="5"/>
      <c r="G354" s="2"/>
      <c r="H354" s="48"/>
    </row>
    <row r="355" spans="1:8" ht="13.8">
      <c r="A355" s="29"/>
      <c r="B355" s="62"/>
      <c r="C355" s="61"/>
      <c r="D355" s="5"/>
      <c r="E355" s="5"/>
      <c r="F355" s="5"/>
      <c r="G355" s="2"/>
      <c r="H355" s="48"/>
    </row>
    <row r="356" spans="1:8" ht="13.8">
      <c r="A356" s="29"/>
      <c r="B356" s="62"/>
      <c r="C356" s="61"/>
      <c r="D356" s="5"/>
      <c r="E356" s="5"/>
      <c r="F356" s="5"/>
      <c r="G356" s="2"/>
      <c r="H356" s="48"/>
    </row>
    <row r="357" spans="1:8" ht="13.8">
      <c r="A357" s="29"/>
      <c r="B357" s="62"/>
      <c r="C357" s="61"/>
      <c r="D357" s="5"/>
      <c r="E357" s="5"/>
      <c r="F357" s="5"/>
      <c r="G357" s="2"/>
      <c r="H357" s="48"/>
    </row>
    <row r="358" spans="1:8" ht="13.8">
      <c r="A358" s="29"/>
      <c r="B358" s="62"/>
      <c r="C358" s="61"/>
      <c r="D358" s="5"/>
      <c r="E358" s="5"/>
      <c r="F358" s="5"/>
      <c r="G358" s="2"/>
      <c r="H358" s="48"/>
    </row>
    <row r="359" spans="1:8" ht="13.8">
      <c r="A359" s="29"/>
      <c r="B359" s="62"/>
      <c r="C359" s="61"/>
      <c r="D359" s="5"/>
      <c r="E359" s="5"/>
      <c r="F359" s="5"/>
      <c r="G359" s="2"/>
      <c r="H359" s="48"/>
    </row>
    <row r="360" spans="1:8" ht="13.8">
      <c r="A360" s="29"/>
      <c r="B360" s="62"/>
      <c r="C360" s="61"/>
      <c r="D360" s="5"/>
      <c r="E360" s="5"/>
      <c r="F360" s="5"/>
      <c r="G360" s="2"/>
      <c r="H360" s="48"/>
    </row>
    <row r="361" spans="1:8" ht="13.8">
      <c r="A361" s="29"/>
      <c r="B361" s="62"/>
      <c r="C361" s="61"/>
      <c r="D361" s="5"/>
      <c r="E361" s="5"/>
      <c r="F361" s="5"/>
      <c r="G361" s="2"/>
      <c r="H361" s="48"/>
    </row>
    <row r="362" spans="1:8" ht="13.8">
      <c r="A362" s="29"/>
      <c r="B362" s="62"/>
      <c r="C362" s="61"/>
      <c r="D362" s="5"/>
      <c r="E362" s="5"/>
      <c r="F362" s="5"/>
      <c r="G362" s="2"/>
      <c r="H362" s="48"/>
    </row>
    <row r="363" spans="1:8" ht="13.8">
      <c r="A363" s="29"/>
      <c r="B363" s="62"/>
      <c r="C363" s="61"/>
      <c r="D363" s="5"/>
      <c r="E363" s="5"/>
      <c r="F363" s="5"/>
      <c r="G363" s="2"/>
      <c r="H363" s="48"/>
    </row>
    <row r="364" spans="1:8" ht="13.8">
      <c r="A364" s="29"/>
      <c r="B364" s="62"/>
      <c r="C364" s="61"/>
      <c r="D364" s="5"/>
      <c r="E364" s="5"/>
      <c r="F364" s="5"/>
      <c r="G364" s="2"/>
      <c r="H364" s="48"/>
    </row>
    <row r="365" spans="1:8" ht="13.8">
      <c r="A365" s="29"/>
      <c r="B365" s="62"/>
      <c r="C365" s="61"/>
      <c r="D365" s="5"/>
      <c r="E365" s="5"/>
      <c r="F365" s="5"/>
      <c r="G365" s="2"/>
      <c r="H365" s="48"/>
    </row>
    <row r="366" spans="1:8" ht="13.8">
      <c r="A366" s="29"/>
      <c r="B366" s="62"/>
      <c r="C366" s="61"/>
      <c r="D366" s="5"/>
      <c r="E366" s="5"/>
      <c r="F366" s="5"/>
      <c r="G366" s="2"/>
      <c r="H366" s="48"/>
    </row>
    <row r="367" spans="1:8" ht="13.8">
      <c r="A367" s="29"/>
      <c r="B367" s="62"/>
      <c r="C367" s="61"/>
      <c r="D367" s="5"/>
      <c r="E367" s="5"/>
      <c r="F367" s="5"/>
      <c r="G367" s="2"/>
      <c r="H367" s="48"/>
    </row>
    <row r="368" spans="1:8" ht="13.8">
      <c r="A368" s="29"/>
      <c r="B368" s="62"/>
      <c r="C368" s="61"/>
      <c r="D368" s="5"/>
      <c r="E368" s="5"/>
      <c r="F368" s="5"/>
      <c r="G368" s="2"/>
      <c r="H368" s="48"/>
    </row>
    <row r="369" spans="1:8" ht="13.8">
      <c r="A369" s="29"/>
      <c r="B369" s="62"/>
      <c r="C369" s="61"/>
      <c r="D369" s="5"/>
      <c r="E369" s="5"/>
      <c r="F369" s="5"/>
      <c r="G369" s="2"/>
      <c r="H369" s="48"/>
    </row>
    <row r="370" spans="1:8" ht="13.8">
      <c r="A370" s="29"/>
      <c r="B370" s="62"/>
      <c r="C370" s="61"/>
      <c r="D370" s="5"/>
      <c r="E370" s="5"/>
      <c r="F370" s="5"/>
      <c r="G370" s="2"/>
      <c r="H370" s="48"/>
    </row>
    <row r="371" spans="1:8" ht="13.8">
      <c r="A371" s="29"/>
      <c r="B371" s="62"/>
      <c r="C371" s="61"/>
      <c r="D371" s="5"/>
      <c r="E371" s="5"/>
      <c r="F371" s="5"/>
      <c r="G371" s="2"/>
      <c r="H371" s="48"/>
    </row>
    <row r="372" spans="1:8" ht="13.8">
      <c r="A372" s="29"/>
      <c r="B372" s="62"/>
      <c r="C372" s="61"/>
      <c r="D372" s="5"/>
      <c r="E372" s="5"/>
      <c r="F372" s="5"/>
      <c r="G372" s="2"/>
      <c r="H372" s="48"/>
    </row>
    <row r="373" spans="1:8" ht="13.8">
      <c r="A373" s="29"/>
      <c r="B373" s="62"/>
      <c r="C373" s="61"/>
      <c r="D373" s="5"/>
      <c r="E373" s="5"/>
      <c r="F373" s="5"/>
      <c r="G373" s="2"/>
      <c r="H373" s="48"/>
    </row>
    <row r="374" spans="1:8" ht="13.8">
      <c r="A374" s="29"/>
      <c r="B374" s="62"/>
      <c r="C374" s="61"/>
      <c r="D374" s="5"/>
      <c r="E374" s="5"/>
      <c r="F374" s="5"/>
      <c r="G374" s="2"/>
      <c r="H374" s="48"/>
    </row>
    <row r="375" spans="1:8" ht="13.8">
      <c r="A375" s="29"/>
      <c r="B375" s="62"/>
      <c r="C375" s="61"/>
      <c r="D375" s="5"/>
      <c r="E375" s="5"/>
      <c r="F375" s="5"/>
      <c r="G375" s="2"/>
      <c r="H375" s="48"/>
    </row>
    <row r="376" spans="1:8" ht="13.8">
      <c r="A376" s="29"/>
      <c r="B376" s="62"/>
      <c r="C376" s="61"/>
      <c r="D376" s="5"/>
      <c r="E376" s="5"/>
      <c r="F376" s="5"/>
      <c r="G376" s="2"/>
      <c r="H376" s="48"/>
    </row>
    <row r="377" spans="1:8" ht="13.8">
      <c r="A377" s="29"/>
      <c r="B377" s="62"/>
      <c r="C377" s="61"/>
      <c r="D377" s="5"/>
      <c r="E377" s="5"/>
      <c r="F377" s="5"/>
      <c r="G377" s="2"/>
      <c r="H377" s="48"/>
    </row>
    <row r="378" spans="1:8" ht="13.8">
      <c r="A378" s="29"/>
      <c r="B378" s="62"/>
      <c r="C378" s="61"/>
      <c r="D378" s="5"/>
      <c r="E378" s="5"/>
      <c r="F378" s="5"/>
      <c r="G378" s="2"/>
      <c r="H378" s="48"/>
    </row>
    <row r="379" spans="1:8" ht="13.8">
      <c r="A379" s="29"/>
      <c r="B379" s="62"/>
      <c r="C379" s="61"/>
      <c r="D379" s="5"/>
      <c r="E379" s="5"/>
      <c r="F379" s="5"/>
      <c r="G379" s="2"/>
      <c r="H379" s="48"/>
    </row>
    <row r="380" spans="1:8" ht="13.8">
      <c r="A380" s="29"/>
      <c r="B380" s="62"/>
      <c r="C380" s="61"/>
      <c r="D380" s="5"/>
      <c r="E380" s="5"/>
      <c r="F380" s="5"/>
      <c r="G380" s="2"/>
      <c r="H380" s="48"/>
    </row>
    <row r="381" spans="1:8" ht="13.8">
      <c r="A381" s="29"/>
      <c r="B381" s="62"/>
      <c r="C381" s="61"/>
      <c r="D381" s="5"/>
      <c r="E381" s="5"/>
      <c r="F381" s="5"/>
      <c r="G381" s="2"/>
      <c r="H381" s="48"/>
    </row>
    <row r="382" spans="1:8" ht="13.8">
      <c r="A382" s="29"/>
      <c r="B382" s="62"/>
      <c r="C382" s="61"/>
      <c r="D382" s="5"/>
      <c r="E382" s="5"/>
      <c r="F382" s="5"/>
      <c r="G382" s="2"/>
      <c r="H382" s="48"/>
    </row>
    <row r="383" spans="1:8" ht="13.8">
      <c r="A383" s="29"/>
      <c r="B383" s="62"/>
      <c r="C383" s="61"/>
      <c r="D383" s="5"/>
      <c r="E383" s="5"/>
      <c r="F383" s="5"/>
      <c r="G383" s="2"/>
      <c r="H383" s="48"/>
    </row>
    <row r="384" spans="1:8" ht="13.8">
      <c r="A384" s="29"/>
      <c r="B384" s="62"/>
      <c r="C384" s="61"/>
      <c r="D384" s="5"/>
      <c r="E384" s="5"/>
      <c r="F384" s="5"/>
      <c r="G384" s="2"/>
      <c r="H384" s="48"/>
    </row>
    <row r="385" spans="1:8" ht="13.8">
      <c r="A385" s="29"/>
      <c r="B385" s="62"/>
      <c r="C385" s="61"/>
      <c r="D385" s="5"/>
      <c r="E385" s="5"/>
      <c r="F385" s="5"/>
      <c r="G385" s="2"/>
      <c r="H385" s="48"/>
    </row>
    <row r="386" spans="1:8" ht="13.8">
      <c r="A386" s="29"/>
      <c r="B386" s="62"/>
      <c r="C386" s="61"/>
      <c r="D386" s="5"/>
      <c r="E386" s="5"/>
      <c r="F386" s="5"/>
      <c r="G386" s="2"/>
      <c r="H386" s="48"/>
    </row>
    <row r="387" spans="1:8" ht="13.8">
      <c r="A387" s="29"/>
      <c r="B387" s="62"/>
      <c r="C387" s="61"/>
      <c r="D387" s="5"/>
      <c r="E387" s="5"/>
      <c r="F387" s="5"/>
      <c r="G387" s="2"/>
      <c r="H387" s="48"/>
    </row>
    <row r="388" spans="1:8" ht="13.8">
      <c r="A388" s="29"/>
      <c r="B388" s="62"/>
      <c r="C388" s="61"/>
      <c r="D388" s="5"/>
      <c r="E388" s="5"/>
      <c r="F388" s="5"/>
      <c r="G388" s="2"/>
      <c r="H388" s="48"/>
    </row>
    <row r="389" spans="1:8" ht="13.8">
      <c r="A389" s="29"/>
      <c r="B389" s="62"/>
      <c r="C389" s="61"/>
      <c r="D389" s="5"/>
      <c r="E389" s="5"/>
      <c r="F389" s="5"/>
      <c r="G389" s="2"/>
      <c r="H389" s="48"/>
    </row>
    <row r="390" spans="1:8" ht="13.8">
      <c r="A390" s="29"/>
      <c r="B390" s="62"/>
      <c r="C390" s="61"/>
      <c r="D390" s="5"/>
      <c r="E390" s="5"/>
      <c r="F390" s="5"/>
      <c r="G390" s="2"/>
      <c r="H390" s="48"/>
    </row>
    <row r="391" spans="1:8" ht="13.8">
      <c r="A391" s="29"/>
      <c r="B391" s="62"/>
      <c r="C391" s="61"/>
      <c r="D391" s="5"/>
      <c r="E391" s="5"/>
      <c r="F391" s="5"/>
      <c r="G391" s="2"/>
      <c r="H391" s="48"/>
    </row>
    <row r="392" spans="1:8" ht="13.8">
      <c r="A392" s="29"/>
      <c r="B392" s="62"/>
      <c r="C392" s="61"/>
      <c r="D392" s="5"/>
      <c r="E392" s="5"/>
      <c r="F392" s="5"/>
      <c r="G392" s="2"/>
      <c r="H392" s="48"/>
    </row>
    <row r="393" spans="1:8" ht="13.8">
      <c r="A393" s="29"/>
      <c r="B393" s="62"/>
      <c r="C393" s="61"/>
      <c r="D393" s="5"/>
      <c r="E393" s="5"/>
      <c r="F393" s="5"/>
      <c r="G393" s="2"/>
      <c r="H393" s="48"/>
    </row>
    <row r="394" spans="1:8" ht="13.8">
      <c r="A394" s="29"/>
      <c r="B394" s="62"/>
      <c r="C394" s="61"/>
      <c r="D394" s="5"/>
      <c r="E394" s="5"/>
      <c r="F394" s="5"/>
      <c r="G394" s="2"/>
      <c r="H394" s="48"/>
    </row>
    <row r="395" spans="1:8" ht="13.8">
      <c r="A395" s="29"/>
      <c r="B395" s="62"/>
      <c r="C395" s="61"/>
      <c r="D395" s="5"/>
      <c r="E395" s="5"/>
      <c r="F395" s="5"/>
      <c r="G395" s="2"/>
      <c r="H395" s="48"/>
    </row>
    <row r="396" spans="1:8" ht="13.8">
      <c r="A396" s="29"/>
      <c r="B396" s="62"/>
      <c r="C396" s="61"/>
      <c r="D396" s="5"/>
      <c r="E396" s="5"/>
      <c r="F396" s="5"/>
      <c r="G396" s="2"/>
      <c r="H396" s="48"/>
    </row>
    <row r="397" spans="1:8" ht="13.8">
      <c r="A397" s="29"/>
      <c r="B397" s="62"/>
      <c r="C397" s="61"/>
      <c r="D397" s="5"/>
      <c r="E397" s="5"/>
      <c r="F397" s="5"/>
      <c r="G397" s="2"/>
      <c r="H397" s="48"/>
    </row>
    <row r="398" spans="1:8" ht="13.8">
      <c r="A398" s="29"/>
      <c r="B398" s="62"/>
      <c r="C398" s="61"/>
      <c r="D398" s="5"/>
      <c r="E398" s="5"/>
      <c r="F398" s="5"/>
      <c r="G398" s="2"/>
      <c r="H398" s="48"/>
    </row>
    <row r="399" spans="1:8" ht="13.8">
      <c r="A399" s="29"/>
      <c r="B399" s="62"/>
      <c r="C399" s="61"/>
      <c r="D399" s="5"/>
      <c r="E399" s="5"/>
      <c r="F399" s="5"/>
      <c r="G399" s="2"/>
      <c r="H399" s="48"/>
    </row>
    <row r="400" spans="1:8" ht="13.8">
      <c r="A400" s="29"/>
      <c r="B400" s="62"/>
      <c r="C400" s="61"/>
      <c r="D400" s="5"/>
      <c r="E400" s="5"/>
      <c r="F400" s="5"/>
      <c r="G400" s="2"/>
      <c r="H400" s="48"/>
    </row>
    <row r="401" spans="1:8" ht="13.8">
      <c r="A401" s="29"/>
      <c r="B401" s="62"/>
      <c r="C401" s="61"/>
      <c r="D401" s="5"/>
      <c r="E401" s="5"/>
      <c r="F401" s="5"/>
      <c r="G401" s="2"/>
      <c r="H401" s="48"/>
    </row>
    <row r="402" spans="1:8" ht="13.8">
      <c r="A402" s="29"/>
      <c r="B402" s="62"/>
      <c r="C402" s="61"/>
      <c r="D402" s="5"/>
      <c r="E402" s="5"/>
      <c r="F402" s="5"/>
      <c r="G402" s="2"/>
      <c r="H402" s="48"/>
    </row>
    <row r="403" spans="1:8" ht="13.8">
      <c r="A403" s="29"/>
      <c r="B403" s="62"/>
      <c r="C403" s="61"/>
      <c r="D403" s="5"/>
      <c r="E403" s="5"/>
      <c r="F403" s="5"/>
      <c r="G403" s="2"/>
      <c r="H403" s="48"/>
    </row>
    <row r="404" spans="1:8" ht="13.8">
      <c r="A404" s="29"/>
      <c r="B404" s="62"/>
      <c r="C404" s="61"/>
      <c r="D404" s="5"/>
      <c r="E404" s="5"/>
      <c r="F404" s="5"/>
      <c r="G404" s="2"/>
      <c r="H404" s="48"/>
    </row>
    <row r="405" spans="1:8" ht="13.8">
      <c r="A405" s="29"/>
      <c r="B405" s="62"/>
      <c r="C405" s="61"/>
      <c r="D405" s="5"/>
      <c r="E405" s="5"/>
      <c r="F405" s="5"/>
      <c r="G405" s="2"/>
      <c r="H405" s="48"/>
    </row>
    <row r="406" spans="1:8" ht="13.8">
      <c r="A406" s="29"/>
      <c r="B406" s="62"/>
      <c r="C406" s="61"/>
      <c r="D406" s="5"/>
      <c r="E406" s="5"/>
      <c r="F406" s="5"/>
      <c r="G406" s="2"/>
      <c r="H406" s="48"/>
    </row>
    <row r="407" spans="1:8" ht="13.8">
      <c r="A407" s="29"/>
      <c r="B407" s="62"/>
      <c r="C407" s="61"/>
      <c r="D407" s="5"/>
      <c r="E407" s="5"/>
      <c r="F407" s="5"/>
      <c r="G407" s="2"/>
      <c r="H407" s="48"/>
    </row>
    <row r="408" spans="1:8" ht="13.8">
      <c r="A408" s="29"/>
      <c r="B408" s="62"/>
      <c r="C408" s="61"/>
      <c r="D408" s="5"/>
      <c r="E408" s="5"/>
      <c r="F408" s="5"/>
      <c r="G408" s="2"/>
      <c r="H408" s="48"/>
    </row>
    <row r="409" spans="1:8" ht="13.8">
      <c r="A409" s="29"/>
      <c r="B409" s="62"/>
      <c r="C409" s="61"/>
      <c r="D409" s="5"/>
      <c r="E409" s="5"/>
      <c r="F409" s="5"/>
      <c r="G409" s="2"/>
      <c r="H409" s="48"/>
    </row>
    <row r="410" spans="1:8" ht="13.8">
      <c r="A410" s="29"/>
      <c r="B410" s="62"/>
      <c r="C410" s="61"/>
      <c r="D410" s="5"/>
      <c r="E410" s="5"/>
      <c r="F410" s="5"/>
      <c r="G410" s="2"/>
      <c r="H410" s="48"/>
    </row>
    <row r="411" spans="1:8" ht="13.8">
      <c r="A411" s="29"/>
      <c r="B411" s="62"/>
      <c r="C411" s="61"/>
      <c r="D411" s="5"/>
      <c r="E411" s="5"/>
      <c r="F411" s="5"/>
      <c r="G411" s="2"/>
      <c r="H411" s="48"/>
    </row>
    <row r="412" spans="1:8" ht="13.8">
      <c r="A412" s="29"/>
      <c r="B412" s="62"/>
      <c r="C412" s="61"/>
      <c r="D412" s="5"/>
      <c r="E412" s="5"/>
      <c r="F412" s="5"/>
      <c r="G412" s="2"/>
      <c r="H412" s="48"/>
    </row>
    <row r="413" spans="1:8" ht="13.8">
      <c r="A413" s="29"/>
      <c r="B413" s="62"/>
      <c r="C413" s="61"/>
      <c r="D413" s="5"/>
      <c r="E413" s="5"/>
      <c r="F413" s="5"/>
      <c r="G413" s="2"/>
      <c r="H413" s="48"/>
    </row>
    <row r="414" spans="1:8" ht="13.8">
      <c r="A414" s="29"/>
      <c r="B414" s="62"/>
      <c r="C414" s="61"/>
      <c r="D414" s="5"/>
      <c r="E414" s="5"/>
      <c r="F414" s="5"/>
      <c r="G414" s="2"/>
      <c r="H414" s="48"/>
    </row>
    <row r="415" spans="1:8" ht="13.8">
      <c r="A415" s="29"/>
      <c r="B415" s="62"/>
      <c r="C415" s="61"/>
      <c r="D415" s="5"/>
      <c r="E415" s="5"/>
      <c r="F415" s="5"/>
      <c r="G415" s="2"/>
      <c r="H415" s="48"/>
    </row>
    <row r="416" spans="1:8" ht="13.8">
      <c r="A416" s="29"/>
      <c r="B416" s="62"/>
      <c r="C416" s="61"/>
      <c r="D416" s="5"/>
      <c r="E416" s="5"/>
      <c r="F416" s="5"/>
      <c r="G416" s="2"/>
      <c r="H416" s="48"/>
    </row>
    <row r="417" spans="1:8" ht="13.8">
      <c r="A417" s="29"/>
      <c r="B417" s="62"/>
      <c r="C417" s="61"/>
      <c r="D417" s="5"/>
      <c r="E417" s="5"/>
      <c r="F417" s="5"/>
      <c r="G417" s="2"/>
      <c r="H417" s="48"/>
    </row>
    <row r="418" spans="1:8" ht="13.8">
      <c r="A418" s="29"/>
      <c r="B418" s="62"/>
      <c r="C418" s="61"/>
      <c r="D418" s="5"/>
      <c r="E418" s="5"/>
      <c r="F418" s="5"/>
      <c r="G418" s="2"/>
      <c r="H418" s="48"/>
    </row>
    <row r="419" spans="1:8" ht="13.8">
      <c r="A419" s="29"/>
      <c r="B419" s="62"/>
      <c r="C419" s="61"/>
      <c r="D419" s="5"/>
      <c r="E419" s="5"/>
      <c r="F419" s="5"/>
      <c r="G419" s="2"/>
      <c r="H419" s="48"/>
    </row>
    <row r="420" spans="1:8" ht="13.8">
      <c r="A420" s="29"/>
      <c r="B420" s="62"/>
      <c r="C420" s="61"/>
      <c r="D420" s="5"/>
      <c r="E420" s="5"/>
      <c r="F420" s="5"/>
      <c r="G420" s="2"/>
      <c r="H420" s="48"/>
    </row>
    <row r="421" spans="1:8" ht="13.8">
      <c r="A421" s="29"/>
      <c r="B421" s="62"/>
      <c r="C421" s="61"/>
      <c r="D421" s="5"/>
      <c r="E421" s="5"/>
      <c r="F421" s="5"/>
      <c r="G421" s="2"/>
      <c r="H421" s="48"/>
    </row>
    <row r="422" spans="1:8" ht="13.8">
      <c r="A422" s="29"/>
      <c r="B422" s="62"/>
      <c r="C422" s="61"/>
      <c r="D422" s="5"/>
      <c r="E422" s="5"/>
      <c r="F422" s="5"/>
      <c r="G422" s="2"/>
      <c r="H422" s="48"/>
    </row>
    <row r="423" spans="1:8" ht="13.8">
      <c r="A423" s="29"/>
      <c r="B423" s="62"/>
      <c r="C423" s="61"/>
      <c r="D423" s="5"/>
      <c r="E423" s="5"/>
      <c r="F423" s="5"/>
      <c r="G423" s="2"/>
      <c r="H423" s="48"/>
    </row>
    <row r="424" spans="1:8" ht="13.8">
      <c r="A424" s="29"/>
      <c r="B424" s="62"/>
      <c r="C424" s="61"/>
      <c r="D424" s="5"/>
      <c r="E424" s="5"/>
      <c r="F424" s="5"/>
      <c r="G424" s="2"/>
      <c r="H424" s="48"/>
    </row>
    <row r="425" spans="1:8" ht="13.8">
      <c r="A425" s="29"/>
      <c r="B425" s="62"/>
      <c r="C425" s="61"/>
      <c r="D425" s="5"/>
      <c r="E425" s="5"/>
      <c r="F425" s="5"/>
      <c r="G425" s="2"/>
      <c r="H425" s="48"/>
    </row>
    <row r="426" spans="1:8" ht="13.8">
      <c r="A426" s="29"/>
      <c r="B426" s="62"/>
      <c r="C426" s="61"/>
      <c r="D426" s="5"/>
      <c r="E426" s="5"/>
      <c r="F426" s="5"/>
      <c r="G426" s="2"/>
      <c r="H426" s="48"/>
    </row>
    <row r="427" spans="1:8" ht="13.8">
      <c r="A427" s="29"/>
      <c r="B427" s="62"/>
      <c r="C427" s="61"/>
      <c r="D427" s="5"/>
      <c r="E427" s="5"/>
      <c r="F427" s="5"/>
      <c r="G427" s="2"/>
      <c r="H427" s="48"/>
    </row>
    <row r="428" spans="1:8" ht="13.8">
      <c r="A428" s="29"/>
      <c r="B428" s="62"/>
      <c r="C428" s="61"/>
      <c r="D428" s="5"/>
      <c r="E428" s="5"/>
      <c r="F428" s="5"/>
      <c r="G428" s="2"/>
      <c r="H428" s="48"/>
    </row>
    <row r="429" spans="1:8" ht="13.8">
      <c r="A429" s="29"/>
      <c r="B429" s="62"/>
      <c r="C429" s="61"/>
      <c r="D429" s="5"/>
      <c r="E429" s="5"/>
      <c r="F429" s="5"/>
      <c r="G429" s="2"/>
      <c r="H429" s="48"/>
    </row>
    <row r="430" spans="1:8" ht="13.8">
      <c r="A430" s="29"/>
      <c r="B430" s="62"/>
      <c r="C430" s="61"/>
      <c r="D430" s="5"/>
      <c r="E430" s="5"/>
      <c r="F430" s="5"/>
      <c r="G430" s="2"/>
      <c r="H430" s="48"/>
    </row>
    <row r="431" spans="1:8" ht="13.8">
      <c r="A431" s="29"/>
      <c r="B431" s="62"/>
      <c r="C431" s="61"/>
      <c r="D431" s="5"/>
      <c r="E431" s="5"/>
      <c r="F431" s="5"/>
      <c r="G431" s="2"/>
      <c r="H431" s="48"/>
    </row>
    <row r="432" spans="1:8" ht="13.8">
      <c r="A432" s="29"/>
      <c r="B432" s="62"/>
      <c r="C432" s="61"/>
      <c r="D432" s="5"/>
      <c r="E432" s="5"/>
      <c r="F432" s="5"/>
      <c r="G432" s="2"/>
      <c r="H432" s="48"/>
    </row>
    <row r="433" spans="1:8" ht="13.8">
      <c r="A433" s="29"/>
      <c r="B433" s="62"/>
      <c r="C433" s="61"/>
      <c r="D433" s="5"/>
      <c r="E433" s="5"/>
      <c r="F433" s="5"/>
      <c r="G433" s="2"/>
      <c r="H433" s="48"/>
    </row>
    <row r="434" spans="1:8" ht="13.8">
      <c r="A434" s="29"/>
      <c r="B434" s="62"/>
      <c r="C434" s="61"/>
      <c r="D434" s="5"/>
      <c r="E434" s="5"/>
      <c r="F434" s="5"/>
      <c r="G434" s="2"/>
      <c r="H434" s="48"/>
    </row>
    <row r="435" spans="1:8" ht="13.8">
      <c r="A435" s="29"/>
      <c r="B435" s="62"/>
      <c r="C435" s="61"/>
      <c r="D435" s="5"/>
      <c r="E435" s="5"/>
      <c r="F435" s="5"/>
      <c r="G435" s="2"/>
      <c r="H435" s="48"/>
    </row>
    <row r="436" spans="1:8" ht="13.8">
      <c r="A436" s="29"/>
      <c r="B436" s="62"/>
      <c r="C436" s="61"/>
      <c r="D436" s="5"/>
      <c r="E436" s="5"/>
      <c r="F436" s="5"/>
      <c r="G436" s="2"/>
      <c r="H436" s="48"/>
    </row>
    <row r="437" spans="1:8" ht="13.8">
      <c r="A437" s="29"/>
      <c r="B437" s="62"/>
      <c r="C437" s="61"/>
      <c r="D437" s="5"/>
      <c r="E437" s="5"/>
      <c r="F437" s="5"/>
      <c r="G437" s="2"/>
      <c r="H437" s="48"/>
    </row>
    <row r="438" spans="1:8" ht="13.8">
      <c r="A438" s="29"/>
      <c r="B438" s="62"/>
      <c r="C438" s="61"/>
      <c r="D438" s="5"/>
      <c r="E438" s="5"/>
      <c r="F438" s="5"/>
      <c r="G438" s="2"/>
      <c r="H438" s="48"/>
    </row>
    <row r="439" spans="1:8" ht="13.8">
      <c r="A439" s="29"/>
      <c r="B439" s="62"/>
      <c r="C439" s="61"/>
      <c r="D439" s="5"/>
      <c r="E439" s="5"/>
      <c r="F439" s="5"/>
      <c r="G439" s="2"/>
      <c r="H439" s="48"/>
    </row>
    <row r="440" spans="1:8" ht="13.8">
      <c r="A440" s="29"/>
      <c r="B440" s="62"/>
      <c r="C440" s="61"/>
      <c r="D440" s="5"/>
      <c r="E440" s="5"/>
      <c r="F440" s="5"/>
      <c r="G440" s="2"/>
      <c r="H440" s="48"/>
    </row>
    <row r="441" spans="1:8" ht="13.8">
      <c r="A441" s="29"/>
      <c r="B441" s="62"/>
      <c r="C441" s="61"/>
      <c r="D441" s="5"/>
      <c r="E441" s="5"/>
      <c r="F441" s="5"/>
      <c r="G441" s="2"/>
      <c r="H441" s="48"/>
    </row>
    <row r="442" spans="1:8" ht="13.8">
      <c r="A442" s="29"/>
      <c r="B442" s="62"/>
      <c r="C442" s="61"/>
      <c r="D442" s="5"/>
      <c r="E442" s="5"/>
      <c r="F442" s="5"/>
      <c r="G442" s="2"/>
      <c r="H442" s="48"/>
    </row>
    <row r="443" spans="1:8" ht="13.8">
      <c r="A443" s="29"/>
      <c r="B443" s="62"/>
      <c r="C443" s="61"/>
      <c r="D443" s="5"/>
      <c r="E443" s="5"/>
      <c r="F443" s="5"/>
      <c r="G443" s="2"/>
      <c r="H443" s="48"/>
    </row>
    <row r="444" spans="1:8" ht="13.8">
      <c r="A444" s="29"/>
      <c r="B444" s="62"/>
      <c r="C444" s="61"/>
      <c r="D444" s="5"/>
      <c r="E444" s="5"/>
      <c r="F444" s="5"/>
      <c r="G444" s="2"/>
      <c r="H444" s="48"/>
    </row>
    <row r="445" spans="1:8" ht="13.8">
      <c r="A445" s="29"/>
      <c r="B445" s="62"/>
      <c r="C445" s="61"/>
      <c r="D445" s="5"/>
      <c r="E445" s="5"/>
      <c r="F445" s="5"/>
      <c r="G445" s="2"/>
      <c r="H445" s="48"/>
    </row>
    <row r="446" spans="1:8" ht="13.8">
      <c r="A446" s="29"/>
      <c r="B446" s="62"/>
      <c r="C446" s="61"/>
      <c r="D446" s="5"/>
      <c r="E446" s="5"/>
      <c r="F446" s="5"/>
      <c r="G446" s="2"/>
      <c r="H446" s="48"/>
    </row>
    <row r="447" spans="1:8" ht="13.8">
      <c r="A447" s="29"/>
      <c r="B447" s="62"/>
      <c r="C447" s="61"/>
      <c r="D447" s="5"/>
      <c r="E447" s="5"/>
      <c r="F447" s="5"/>
      <c r="G447" s="2"/>
      <c r="H447" s="48"/>
    </row>
    <row r="448" spans="1:8" ht="13.8">
      <c r="A448" s="29"/>
      <c r="B448" s="62"/>
      <c r="C448" s="61"/>
      <c r="D448" s="5"/>
      <c r="E448" s="5"/>
      <c r="F448" s="5"/>
      <c r="G448" s="2"/>
      <c r="H448" s="48"/>
    </row>
    <row r="449" spans="1:8" ht="13.8">
      <c r="A449" s="29"/>
      <c r="B449" s="62"/>
      <c r="C449" s="61"/>
      <c r="D449" s="5"/>
      <c r="E449" s="5"/>
      <c r="F449" s="5"/>
      <c r="G449" s="2"/>
      <c r="H449" s="48"/>
    </row>
    <row r="450" spans="1:8" ht="13.8">
      <c r="A450" s="29"/>
      <c r="B450" s="62"/>
      <c r="C450" s="61"/>
      <c r="D450" s="5"/>
      <c r="E450" s="5"/>
      <c r="F450" s="5"/>
      <c r="G450" s="2"/>
      <c r="H450" s="48"/>
    </row>
    <row r="451" spans="1:8" ht="13.8">
      <c r="A451" s="29"/>
      <c r="B451" s="62"/>
      <c r="C451" s="61"/>
      <c r="D451" s="5"/>
      <c r="E451" s="5"/>
      <c r="F451" s="5"/>
      <c r="G451" s="2"/>
      <c r="H451" s="48"/>
    </row>
    <row r="452" spans="1:8" ht="13.8">
      <c r="A452" s="29"/>
      <c r="B452" s="62"/>
      <c r="C452" s="61"/>
      <c r="D452" s="5"/>
      <c r="E452" s="5"/>
      <c r="F452" s="5"/>
      <c r="G452" s="2"/>
      <c r="H452" s="48"/>
    </row>
    <row r="453" spans="1:8" ht="13.8">
      <c r="A453" s="29"/>
      <c r="B453" s="62"/>
      <c r="C453" s="61"/>
      <c r="D453" s="5"/>
      <c r="E453" s="5"/>
      <c r="F453" s="5"/>
      <c r="G453" s="2"/>
      <c r="H453" s="48"/>
    </row>
    <row r="454" spans="1:8" ht="13.8">
      <c r="A454" s="29"/>
      <c r="B454" s="62"/>
      <c r="C454" s="61"/>
      <c r="D454" s="5"/>
      <c r="E454" s="5"/>
      <c r="F454" s="5"/>
      <c r="G454" s="2"/>
      <c r="H454" s="48"/>
    </row>
    <row r="455" spans="1:8" ht="13.8">
      <c r="A455" s="29"/>
      <c r="B455" s="62"/>
      <c r="C455" s="61"/>
      <c r="D455" s="5"/>
      <c r="E455" s="5"/>
      <c r="F455" s="5"/>
      <c r="G455" s="2"/>
      <c r="H455" s="48"/>
    </row>
    <row r="456" spans="1:8" ht="13.8">
      <c r="A456" s="29"/>
      <c r="B456" s="62"/>
      <c r="C456" s="61"/>
      <c r="D456" s="5"/>
      <c r="E456" s="5"/>
      <c r="F456" s="5"/>
      <c r="G456" s="2"/>
      <c r="H456" s="48"/>
    </row>
    <row r="457" spans="1:8" ht="13.8">
      <c r="A457" s="29"/>
      <c r="B457" s="62"/>
      <c r="C457" s="61"/>
      <c r="D457" s="5"/>
      <c r="E457" s="5"/>
      <c r="F457" s="5"/>
      <c r="G457" s="2"/>
      <c r="H457" s="48"/>
    </row>
    <row r="458" spans="1:8" ht="13.8">
      <c r="A458" s="29"/>
      <c r="B458" s="62"/>
      <c r="C458" s="61"/>
      <c r="D458" s="5"/>
      <c r="E458" s="5"/>
      <c r="F458" s="5"/>
      <c r="G458" s="2"/>
      <c r="H458" s="48"/>
    </row>
    <row r="459" spans="1:8" ht="13.8">
      <c r="A459" s="29"/>
      <c r="B459" s="62"/>
      <c r="C459" s="61"/>
      <c r="D459" s="5"/>
      <c r="E459" s="5"/>
      <c r="F459" s="5"/>
      <c r="G459" s="2"/>
      <c r="H459" s="48"/>
    </row>
    <row r="460" spans="1:8" ht="13.8">
      <c r="A460" s="29"/>
      <c r="B460" s="62"/>
      <c r="C460" s="61"/>
      <c r="D460" s="5"/>
      <c r="E460" s="5"/>
      <c r="F460" s="5"/>
      <c r="G460" s="2"/>
      <c r="H460" s="48"/>
    </row>
    <row r="461" spans="1:8" ht="13.8">
      <c r="A461" s="29"/>
      <c r="B461" s="62"/>
      <c r="C461" s="61"/>
      <c r="D461" s="5"/>
      <c r="E461" s="5"/>
      <c r="F461" s="5"/>
      <c r="G461" s="2"/>
      <c r="H461" s="48"/>
    </row>
    <row r="462" spans="1:8" ht="13.8">
      <c r="A462" s="29"/>
      <c r="B462" s="62"/>
      <c r="C462" s="61"/>
      <c r="D462" s="5"/>
      <c r="E462" s="5"/>
      <c r="F462" s="5"/>
      <c r="G462" s="2"/>
      <c r="H462" s="48"/>
    </row>
    <row r="463" spans="1:8" ht="13.8">
      <c r="A463" s="29"/>
      <c r="B463" s="62"/>
      <c r="C463" s="61"/>
      <c r="D463" s="5"/>
      <c r="E463" s="5"/>
      <c r="F463" s="5"/>
      <c r="G463" s="2"/>
      <c r="H463" s="48"/>
    </row>
    <row r="464" spans="1:8" ht="13.8">
      <c r="A464" s="29"/>
      <c r="B464" s="62"/>
      <c r="C464" s="61"/>
      <c r="D464" s="5"/>
      <c r="E464" s="5"/>
      <c r="F464" s="5"/>
      <c r="G464" s="2"/>
      <c r="H464" s="48"/>
    </row>
    <row r="465" spans="1:8" ht="13.8">
      <c r="A465" s="29"/>
      <c r="B465" s="62"/>
      <c r="C465" s="61"/>
      <c r="D465" s="5"/>
      <c r="E465" s="5"/>
      <c r="F465" s="5"/>
      <c r="G465" s="2"/>
      <c r="H465" s="48"/>
    </row>
    <row r="466" spans="1:8" ht="13.8">
      <c r="A466" s="29"/>
      <c r="B466" s="62"/>
      <c r="C466" s="61"/>
      <c r="D466" s="5"/>
      <c r="E466" s="5"/>
      <c r="F466" s="5"/>
      <c r="G466" s="2"/>
      <c r="H466" s="48"/>
    </row>
    <row r="467" spans="1:8" ht="13.8">
      <c r="A467" s="29"/>
      <c r="B467" s="62"/>
      <c r="C467" s="61"/>
      <c r="D467" s="5"/>
      <c r="E467" s="5"/>
      <c r="F467" s="5"/>
      <c r="G467" s="2"/>
      <c r="H467" s="48"/>
    </row>
    <row r="468" spans="1:8" ht="13.8">
      <c r="A468" s="29"/>
      <c r="B468" s="62"/>
      <c r="C468" s="61"/>
      <c r="D468" s="5"/>
      <c r="E468" s="5"/>
      <c r="F468" s="5"/>
      <c r="G468" s="2"/>
      <c r="H468" s="48"/>
    </row>
    <row r="469" spans="1:8" ht="13.8">
      <c r="A469" s="29"/>
      <c r="B469" s="62"/>
      <c r="C469" s="61"/>
      <c r="D469" s="5"/>
      <c r="E469" s="5"/>
      <c r="F469" s="5"/>
      <c r="G469" s="2"/>
      <c r="H469" s="48"/>
    </row>
    <row r="470" spans="1:8" ht="13.8">
      <c r="A470" s="29"/>
      <c r="B470" s="62"/>
      <c r="C470" s="61"/>
      <c r="D470" s="5"/>
      <c r="E470" s="5"/>
      <c r="F470" s="5"/>
      <c r="G470" s="2"/>
      <c r="H470" s="48"/>
    </row>
    <row r="471" spans="1:8" ht="13.8">
      <c r="A471" s="29"/>
      <c r="B471" s="62"/>
      <c r="C471" s="61"/>
      <c r="D471" s="5"/>
      <c r="E471" s="5"/>
      <c r="F471" s="5"/>
      <c r="G471" s="2"/>
      <c r="H471" s="48"/>
    </row>
    <row r="472" spans="1:8" ht="13.8">
      <c r="A472" s="29"/>
      <c r="B472" s="62"/>
      <c r="C472" s="61"/>
      <c r="D472" s="5"/>
      <c r="E472" s="5"/>
      <c r="F472" s="5"/>
      <c r="G472" s="2"/>
      <c r="H472" s="48"/>
    </row>
    <row r="473" spans="1:8" ht="13.8">
      <c r="A473" s="29"/>
      <c r="B473" s="62"/>
      <c r="C473" s="61"/>
      <c r="D473" s="5"/>
      <c r="E473" s="5"/>
      <c r="F473" s="5"/>
      <c r="G473" s="2"/>
      <c r="H473" s="48"/>
    </row>
    <row r="474" spans="1:8" ht="13.8">
      <c r="A474" s="29"/>
      <c r="B474" s="62"/>
      <c r="C474" s="61"/>
      <c r="D474" s="5"/>
      <c r="E474" s="5"/>
      <c r="F474" s="5"/>
      <c r="G474" s="2"/>
      <c r="H474" s="48"/>
    </row>
    <row r="475" spans="1:8" ht="13.8">
      <c r="A475" s="29"/>
      <c r="B475" s="62"/>
      <c r="C475" s="61"/>
      <c r="D475" s="5"/>
      <c r="E475" s="5"/>
      <c r="F475" s="5"/>
      <c r="G475" s="2"/>
      <c r="H475" s="48"/>
    </row>
    <row r="476" spans="1:8" ht="13.8">
      <c r="A476" s="29"/>
      <c r="B476" s="62"/>
      <c r="C476" s="61"/>
      <c r="D476" s="5"/>
      <c r="E476" s="5"/>
      <c r="F476" s="5"/>
      <c r="G476" s="2"/>
      <c r="H476" s="48"/>
    </row>
    <row r="477" spans="1:8" ht="13.8">
      <c r="A477" s="29"/>
      <c r="B477" s="62"/>
      <c r="C477" s="61"/>
      <c r="D477" s="5"/>
      <c r="E477" s="5"/>
      <c r="F477" s="5"/>
      <c r="G477" s="2"/>
      <c r="H477" s="48"/>
    </row>
    <row r="478" spans="1:8" ht="13.8">
      <c r="A478" s="29"/>
      <c r="B478" s="62"/>
      <c r="C478" s="61"/>
      <c r="D478" s="5"/>
      <c r="E478" s="5"/>
      <c r="F478" s="5"/>
      <c r="G478" s="2"/>
      <c r="H478" s="48"/>
    </row>
    <row r="479" spans="1:8" ht="13.8">
      <c r="A479" s="29"/>
      <c r="B479" s="62"/>
      <c r="C479" s="61"/>
      <c r="D479" s="5"/>
      <c r="E479" s="5"/>
      <c r="F479" s="5"/>
      <c r="G479" s="2"/>
      <c r="H479" s="48"/>
    </row>
    <row r="480" spans="1:8" ht="13.8">
      <c r="A480" s="29"/>
      <c r="B480" s="62"/>
      <c r="C480" s="61"/>
      <c r="D480" s="5"/>
      <c r="E480" s="5"/>
      <c r="F480" s="5"/>
      <c r="G480" s="2"/>
      <c r="H480" s="48"/>
    </row>
    <row r="481" spans="1:8" ht="13.8">
      <c r="A481" s="29"/>
      <c r="B481" s="62"/>
      <c r="C481" s="61"/>
      <c r="D481" s="5"/>
      <c r="E481" s="5"/>
      <c r="F481" s="5"/>
      <c r="G481" s="2"/>
      <c r="H481" s="48"/>
    </row>
    <row r="482" spans="1:8" ht="13.8">
      <c r="A482" s="29"/>
      <c r="B482" s="62"/>
      <c r="C482" s="61"/>
      <c r="D482" s="5"/>
      <c r="E482" s="5"/>
      <c r="F482" s="5"/>
      <c r="G482" s="2"/>
      <c r="H482" s="48"/>
    </row>
    <row r="483" spans="1:8" ht="13.8">
      <c r="A483" s="29"/>
      <c r="B483" s="62"/>
      <c r="C483" s="61"/>
      <c r="D483" s="5"/>
      <c r="E483" s="5"/>
      <c r="F483" s="5"/>
      <c r="G483" s="2"/>
      <c r="H483" s="48"/>
    </row>
    <row r="484" spans="1:8" ht="13.8">
      <c r="A484" s="29"/>
      <c r="B484" s="62"/>
      <c r="C484" s="61"/>
      <c r="D484" s="5"/>
      <c r="E484" s="5"/>
      <c r="F484" s="5"/>
      <c r="G484" s="2"/>
      <c r="H484" s="48"/>
    </row>
    <row r="485" spans="1:8" ht="13.8">
      <c r="A485" s="29"/>
      <c r="B485" s="62"/>
      <c r="C485" s="61"/>
      <c r="D485" s="5"/>
      <c r="E485" s="5"/>
      <c r="F485" s="5"/>
      <c r="G485" s="2"/>
      <c r="H485" s="48"/>
    </row>
    <row r="486" spans="1:8" ht="13.8">
      <c r="A486" s="29"/>
      <c r="B486" s="62"/>
      <c r="C486" s="61"/>
      <c r="D486" s="5"/>
      <c r="E486" s="5"/>
      <c r="F486" s="5"/>
      <c r="G486" s="2"/>
      <c r="H486" s="48"/>
    </row>
    <row r="487" spans="1:8" ht="13.8">
      <c r="A487" s="29"/>
      <c r="B487" s="62"/>
      <c r="C487" s="61"/>
      <c r="D487" s="5"/>
      <c r="E487" s="5"/>
      <c r="F487" s="5"/>
      <c r="G487" s="2"/>
      <c r="H487" s="48"/>
    </row>
    <row r="488" spans="1:8" ht="13.8">
      <c r="A488" s="29"/>
      <c r="B488" s="62"/>
      <c r="C488" s="61"/>
      <c r="D488" s="5"/>
      <c r="E488" s="5"/>
      <c r="F488" s="5"/>
      <c r="G488" s="2"/>
      <c r="H488" s="48"/>
    </row>
    <row r="489" spans="1:8" ht="13.8">
      <c r="A489" s="29"/>
      <c r="B489" s="62"/>
      <c r="C489" s="61"/>
      <c r="D489" s="5"/>
      <c r="E489" s="5"/>
      <c r="F489" s="5"/>
      <c r="G489" s="2"/>
      <c r="H489" s="48"/>
    </row>
    <row r="490" spans="1:8" ht="13.8">
      <c r="A490" s="29"/>
      <c r="B490" s="62"/>
      <c r="C490" s="61"/>
      <c r="D490" s="5"/>
      <c r="E490" s="5"/>
      <c r="F490" s="5"/>
      <c r="G490" s="2"/>
      <c r="H490" s="48"/>
    </row>
    <row r="491" spans="1:8" ht="13.8">
      <c r="A491" s="29"/>
      <c r="B491" s="62"/>
      <c r="C491" s="61"/>
      <c r="D491" s="5"/>
      <c r="E491" s="5"/>
      <c r="F491" s="5"/>
      <c r="G491" s="2"/>
      <c r="H491" s="48"/>
    </row>
    <row r="492" spans="1:8" ht="13.8">
      <c r="A492" s="29"/>
      <c r="B492" s="62"/>
      <c r="C492" s="61"/>
      <c r="D492" s="5"/>
      <c r="E492" s="5"/>
      <c r="F492" s="5"/>
      <c r="G492" s="2"/>
      <c r="H492" s="48"/>
    </row>
    <row r="493" spans="1:8" ht="13.8">
      <c r="A493" s="29"/>
      <c r="B493" s="62"/>
      <c r="C493" s="61"/>
      <c r="D493" s="5"/>
      <c r="E493" s="5"/>
      <c r="F493" s="5"/>
      <c r="G493" s="2"/>
      <c r="H493" s="48"/>
    </row>
    <row r="494" spans="1:8" ht="13.8">
      <c r="A494" s="29"/>
      <c r="B494" s="62"/>
      <c r="C494" s="61"/>
      <c r="D494" s="5"/>
      <c r="E494" s="5"/>
      <c r="F494" s="5"/>
      <c r="G494" s="2"/>
      <c r="H494" s="48"/>
    </row>
    <row r="495" spans="1:8" ht="13.8">
      <c r="A495" s="29"/>
      <c r="B495" s="62"/>
      <c r="C495" s="61"/>
      <c r="D495" s="5"/>
      <c r="E495" s="5"/>
      <c r="F495" s="5"/>
      <c r="G495" s="2"/>
      <c r="H495" s="48"/>
    </row>
    <row r="496" spans="1:8" ht="13.8">
      <c r="A496" s="29"/>
      <c r="B496" s="62"/>
      <c r="C496" s="61"/>
      <c r="D496" s="5"/>
      <c r="E496" s="5"/>
      <c r="F496" s="5"/>
      <c r="G496" s="2"/>
      <c r="H496" s="48"/>
    </row>
    <row r="497" spans="1:8" ht="13.8">
      <c r="A497" s="29"/>
      <c r="B497" s="62"/>
      <c r="C497" s="61"/>
      <c r="D497" s="5"/>
      <c r="E497" s="5"/>
      <c r="F497" s="5"/>
      <c r="G497" s="2"/>
      <c r="H497" s="48"/>
    </row>
    <row r="498" spans="1:8" ht="13.8">
      <c r="A498" s="29"/>
      <c r="B498" s="62"/>
      <c r="C498" s="61"/>
      <c r="D498" s="5"/>
      <c r="E498" s="5"/>
      <c r="F498" s="5"/>
      <c r="G498" s="2"/>
      <c r="H498" s="48"/>
    </row>
    <row r="499" spans="1:8" ht="13.8">
      <c r="A499" s="29"/>
      <c r="B499" s="62"/>
      <c r="C499" s="61"/>
      <c r="D499" s="5"/>
      <c r="E499" s="5"/>
      <c r="F499" s="5"/>
      <c r="G499" s="2"/>
      <c r="H499" s="48"/>
    </row>
    <row r="500" spans="1:8" ht="13.8">
      <c r="A500" s="29"/>
      <c r="B500" s="62"/>
      <c r="C500" s="61"/>
      <c r="D500" s="5"/>
      <c r="E500" s="5"/>
      <c r="F500" s="5"/>
      <c r="G500" s="2"/>
      <c r="H500" s="48"/>
    </row>
    <row r="501" spans="1:8" ht="13.8">
      <c r="A501" s="29"/>
      <c r="B501" s="62"/>
      <c r="C501" s="61"/>
      <c r="D501" s="5"/>
      <c r="E501" s="5"/>
      <c r="F501" s="5"/>
      <c r="G501" s="2"/>
      <c r="H501" s="48"/>
    </row>
    <row r="502" spans="1:8" ht="13.8">
      <c r="A502" s="29"/>
      <c r="B502" s="62"/>
      <c r="C502" s="61"/>
      <c r="D502" s="5"/>
      <c r="E502" s="5"/>
      <c r="F502" s="5"/>
      <c r="G502" s="2"/>
      <c r="H502" s="48"/>
    </row>
    <row r="503" spans="1:8" ht="13.8">
      <c r="A503" s="29"/>
      <c r="B503" s="62"/>
      <c r="C503" s="61"/>
      <c r="D503" s="5"/>
      <c r="E503" s="5"/>
      <c r="F503" s="5"/>
      <c r="G503" s="2"/>
      <c r="H503" s="48"/>
    </row>
    <row r="504" spans="1:8" ht="13.8">
      <c r="A504" s="29"/>
      <c r="B504" s="62"/>
      <c r="C504" s="61"/>
      <c r="D504" s="5"/>
      <c r="E504" s="5"/>
      <c r="F504" s="5"/>
      <c r="G504" s="2"/>
      <c r="H504" s="48"/>
    </row>
    <row r="505" spans="1:8" ht="13.8">
      <c r="A505" s="29"/>
      <c r="B505" s="62"/>
      <c r="C505" s="61"/>
      <c r="D505" s="5"/>
      <c r="E505" s="5"/>
      <c r="F505" s="5"/>
      <c r="G505" s="2"/>
      <c r="H505" s="48"/>
    </row>
    <row r="506" spans="1:8" ht="13.8">
      <c r="A506" s="29"/>
      <c r="B506" s="62"/>
      <c r="C506" s="61"/>
      <c r="D506" s="5"/>
      <c r="E506" s="5"/>
      <c r="F506" s="5"/>
      <c r="G506" s="2"/>
      <c r="H506" s="48"/>
    </row>
    <row r="507" spans="1:8" ht="13.8">
      <c r="A507" s="29"/>
      <c r="B507" s="62"/>
      <c r="C507" s="61"/>
      <c r="D507" s="5"/>
      <c r="E507" s="5"/>
      <c r="F507" s="5"/>
      <c r="G507" s="2"/>
      <c r="H507" s="48"/>
    </row>
    <row r="508" spans="1:8" ht="13.8">
      <c r="A508" s="29"/>
      <c r="B508" s="62"/>
      <c r="C508" s="61"/>
      <c r="D508" s="5"/>
      <c r="E508" s="5"/>
      <c r="F508" s="5"/>
      <c r="G508" s="2"/>
      <c r="H508" s="48"/>
    </row>
    <row r="509" spans="1:8" ht="13.8">
      <c r="A509" s="29"/>
      <c r="B509" s="62"/>
      <c r="C509" s="61"/>
      <c r="D509" s="5"/>
      <c r="E509" s="5"/>
      <c r="F509" s="5"/>
      <c r="G509" s="2"/>
      <c r="H509" s="48"/>
    </row>
    <row r="510" spans="1:8" ht="13.8">
      <c r="A510" s="29"/>
      <c r="B510" s="62"/>
      <c r="C510" s="61"/>
      <c r="D510" s="5"/>
      <c r="E510" s="5"/>
      <c r="F510" s="5"/>
      <c r="G510" s="2"/>
      <c r="H510" s="48"/>
    </row>
    <row r="511" spans="1:8" ht="13.8">
      <c r="A511" s="29"/>
      <c r="B511" s="62"/>
      <c r="C511" s="61"/>
      <c r="D511" s="5"/>
      <c r="E511" s="5"/>
      <c r="F511" s="5"/>
      <c r="G511" s="2"/>
      <c r="H511" s="48"/>
    </row>
    <row r="512" spans="1:8" ht="13.8">
      <c r="A512" s="29"/>
      <c r="B512" s="62"/>
      <c r="C512" s="61"/>
      <c r="D512" s="5"/>
      <c r="E512" s="5"/>
      <c r="F512" s="5"/>
      <c r="G512" s="2"/>
      <c r="H512" s="48"/>
    </row>
    <row r="513" spans="1:8" ht="13.8">
      <c r="A513" s="29"/>
      <c r="B513" s="62"/>
      <c r="C513" s="61"/>
      <c r="D513" s="5"/>
      <c r="E513" s="5"/>
      <c r="F513" s="5"/>
      <c r="G513" s="2"/>
      <c r="H513" s="48"/>
    </row>
    <row r="514" spans="1:8" ht="13.8">
      <c r="A514" s="29"/>
      <c r="B514" s="62"/>
      <c r="C514" s="61"/>
      <c r="D514" s="5"/>
      <c r="E514" s="5"/>
      <c r="F514" s="5"/>
      <c r="G514" s="2"/>
      <c r="H514" s="48"/>
    </row>
    <row r="515" spans="1:8" ht="13.8">
      <c r="A515" s="29"/>
      <c r="B515" s="62"/>
      <c r="C515" s="61"/>
      <c r="D515" s="5"/>
      <c r="E515" s="5"/>
      <c r="F515" s="5"/>
      <c r="G515" s="2"/>
      <c r="H515" s="48"/>
    </row>
    <row r="516" spans="1:8" ht="13.8">
      <c r="A516" s="29"/>
      <c r="B516" s="62"/>
      <c r="C516" s="61"/>
      <c r="D516" s="5"/>
      <c r="E516" s="5"/>
      <c r="F516" s="5"/>
      <c r="G516" s="2"/>
      <c r="H516" s="48"/>
    </row>
    <row r="517" spans="1:8" ht="13.8">
      <c r="A517" s="29"/>
      <c r="B517" s="62"/>
      <c r="C517" s="61"/>
      <c r="D517" s="5"/>
      <c r="E517" s="5"/>
      <c r="F517" s="5"/>
      <c r="G517" s="2"/>
      <c r="H517" s="48"/>
    </row>
    <row r="518" spans="1:8" ht="13.8">
      <c r="A518" s="29"/>
      <c r="B518" s="62"/>
      <c r="C518" s="61"/>
      <c r="D518" s="5"/>
      <c r="E518" s="5"/>
      <c r="F518" s="5"/>
      <c r="G518" s="2"/>
      <c r="H518" s="48"/>
    </row>
    <row r="519" spans="1:8" ht="13.8">
      <c r="A519" s="29"/>
      <c r="B519" s="62"/>
      <c r="C519" s="61"/>
      <c r="D519" s="5"/>
      <c r="E519" s="5"/>
      <c r="F519" s="5"/>
      <c r="G519" s="2"/>
      <c r="H519" s="48"/>
    </row>
    <row r="520" spans="1:8" ht="13.8">
      <c r="A520" s="29"/>
      <c r="B520" s="62"/>
      <c r="C520" s="61"/>
      <c r="D520" s="5"/>
      <c r="E520" s="5"/>
      <c r="F520" s="5"/>
      <c r="G520" s="2"/>
      <c r="H520" s="48"/>
    </row>
    <row r="521" spans="1:8" ht="13.8">
      <c r="A521" s="29"/>
      <c r="B521" s="62"/>
      <c r="C521" s="61"/>
      <c r="D521" s="5"/>
      <c r="E521" s="5"/>
      <c r="F521" s="5"/>
      <c r="G521" s="2"/>
      <c r="H521" s="48"/>
    </row>
    <row r="522" spans="1:8" ht="13.8">
      <c r="A522" s="29"/>
      <c r="B522" s="62"/>
      <c r="C522" s="61"/>
      <c r="D522" s="5"/>
      <c r="E522" s="5"/>
      <c r="F522" s="5"/>
      <c r="G522" s="2"/>
      <c r="H522" s="48"/>
    </row>
    <row r="523" spans="1:8" ht="13.8">
      <c r="A523" s="29"/>
      <c r="B523" s="62"/>
      <c r="C523" s="61"/>
      <c r="D523" s="5"/>
      <c r="E523" s="5"/>
      <c r="F523" s="5"/>
      <c r="G523" s="2"/>
      <c r="H523" s="48"/>
    </row>
    <row r="524" spans="1:8" ht="13.8">
      <c r="A524" s="29"/>
      <c r="B524" s="62"/>
      <c r="C524" s="61"/>
      <c r="D524" s="5"/>
      <c r="E524" s="5"/>
      <c r="F524" s="5"/>
      <c r="G524" s="2"/>
      <c r="H524" s="48"/>
    </row>
    <row r="525" spans="1:8" ht="13.8">
      <c r="A525" s="29"/>
      <c r="B525" s="62"/>
      <c r="C525" s="61"/>
      <c r="D525" s="5"/>
      <c r="E525" s="5"/>
      <c r="F525" s="5"/>
      <c r="G525" s="2"/>
      <c r="H525" s="48"/>
    </row>
    <row r="526" spans="1:8" ht="13.8">
      <c r="A526" s="29"/>
      <c r="B526" s="62"/>
      <c r="C526" s="61"/>
      <c r="D526" s="5"/>
      <c r="E526" s="5"/>
      <c r="F526" s="5"/>
      <c r="G526" s="2"/>
      <c r="H526" s="48"/>
    </row>
    <row r="527" spans="1:8" ht="13.8">
      <c r="A527" s="29"/>
      <c r="B527" s="62"/>
      <c r="C527" s="61"/>
      <c r="D527" s="5"/>
      <c r="E527" s="5"/>
      <c r="F527" s="5"/>
      <c r="G527" s="2"/>
      <c r="H527" s="48"/>
    </row>
    <row r="528" spans="1:8" ht="13.8">
      <c r="A528" s="29"/>
      <c r="B528" s="62"/>
      <c r="C528" s="61"/>
      <c r="D528" s="5"/>
      <c r="E528" s="5"/>
      <c r="F528" s="5"/>
      <c r="G528" s="2"/>
      <c r="H528" s="48"/>
    </row>
    <row r="529" spans="1:8" ht="13.8">
      <c r="A529" s="29"/>
      <c r="B529" s="62"/>
      <c r="C529" s="61"/>
      <c r="D529" s="5"/>
      <c r="E529" s="5"/>
      <c r="F529" s="5"/>
      <c r="G529" s="2"/>
      <c r="H529" s="48"/>
    </row>
    <row r="530" spans="1:8" ht="13.8">
      <c r="A530" s="29"/>
      <c r="B530" s="62"/>
      <c r="C530" s="61"/>
      <c r="D530" s="5"/>
      <c r="E530" s="5"/>
      <c r="F530" s="5"/>
      <c r="G530" s="2"/>
      <c r="H530" s="48"/>
    </row>
    <row r="531" spans="1:8" ht="13.8">
      <c r="A531" s="29"/>
      <c r="B531" s="62"/>
      <c r="C531" s="61"/>
      <c r="D531" s="5"/>
      <c r="E531" s="5"/>
      <c r="F531" s="5"/>
      <c r="G531" s="2"/>
      <c r="H531" s="48"/>
    </row>
    <row r="532" spans="1:8" ht="13.8">
      <c r="A532" s="29"/>
      <c r="B532" s="62"/>
      <c r="C532" s="61"/>
      <c r="D532" s="5"/>
      <c r="E532" s="5"/>
      <c r="F532" s="5"/>
      <c r="G532" s="2"/>
      <c r="H532" s="48"/>
    </row>
    <row r="533" spans="1:8" ht="13.8">
      <c r="A533" s="29"/>
      <c r="B533" s="62"/>
      <c r="C533" s="61"/>
      <c r="D533" s="5"/>
      <c r="E533" s="5"/>
      <c r="F533" s="5"/>
      <c r="G533" s="2"/>
      <c r="H533" s="48"/>
    </row>
    <row r="534" spans="1:8" ht="13.8">
      <c r="A534" s="29"/>
      <c r="B534" s="62"/>
      <c r="C534" s="61"/>
      <c r="D534" s="5"/>
      <c r="E534" s="5"/>
      <c r="F534" s="5"/>
      <c r="G534" s="2"/>
      <c r="H534" s="48"/>
    </row>
    <row r="535" spans="1:8" ht="13.8">
      <c r="A535" s="29"/>
      <c r="B535" s="62"/>
      <c r="C535" s="61"/>
      <c r="D535" s="5"/>
      <c r="E535" s="5"/>
      <c r="F535" s="5"/>
      <c r="G535" s="2"/>
      <c r="H535" s="48"/>
    </row>
    <row r="536" spans="1:8" ht="13.8">
      <c r="A536" s="29"/>
      <c r="B536" s="62"/>
      <c r="C536" s="61"/>
      <c r="D536" s="5"/>
      <c r="E536" s="5"/>
      <c r="F536" s="5"/>
      <c r="G536" s="2"/>
      <c r="H536" s="48"/>
    </row>
    <row r="537" spans="1:8" ht="13.8">
      <c r="A537" s="29"/>
      <c r="B537" s="62"/>
      <c r="C537" s="61"/>
      <c r="D537" s="5"/>
      <c r="E537" s="5"/>
      <c r="F537" s="5"/>
      <c r="G537" s="2"/>
      <c r="H537" s="48"/>
    </row>
    <row r="538" spans="1:8" ht="13.8">
      <c r="A538" s="29"/>
      <c r="B538" s="62"/>
      <c r="C538" s="61"/>
      <c r="D538" s="5"/>
      <c r="E538" s="5"/>
      <c r="F538" s="5"/>
      <c r="G538" s="2"/>
      <c r="H538" s="48"/>
    </row>
    <row r="539" spans="1:8" ht="13.8">
      <c r="A539" s="29"/>
      <c r="B539" s="62"/>
      <c r="C539" s="61"/>
      <c r="D539" s="5"/>
      <c r="E539" s="5"/>
      <c r="F539" s="5"/>
      <c r="G539" s="2"/>
      <c r="H539" s="48"/>
    </row>
    <row r="540" spans="1:8" ht="13.8">
      <c r="A540" s="29"/>
      <c r="B540" s="62"/>
      <c r="C540" s="61"/>
      <c r="D540" s="5"/>
      <c r="E540" s="5"/>
      <c r="F540" s="5"/>
      <c r="G540" s="2"/>
      <c r="H540" s="48"/>
    </row>
    <row r="541" spans="1:8" ht="13.8">
      <c r="A541" s="29"/>
      <c r="B541" s="62"/>
      <c r="C541" s="61"/>
      <c r="D541" s="5"/>
      <c r="E541" s="5"/>
      <c r="F541" s="5"/>
      <c r="G541" s="2"/>
      <c r="H541" s="48"/>
    </row>
    <row r="542" spans="1:8" ht="13.8">
      <c r="A542" s="29"/>
      <c r="B542" s="62"/>
      <c r="C542" s="61"/>
      <c r="D542" s="5"/>
      <c r="E542" s="5"/>
      <c r="F542" s="5"/>
      <c r="G542" s="2"/>
      <c r="H542" s="48"/>
    </row>
    <row r="543" spans="1:8" ht="13.8">
      <c r="A543" s="29"/>
      <c r="B543" s="62"/>
      <c r="C543" s="61"/>
      <c r="D543" s="5"/>
      <c r="E543" s="5"/>
      <c r="F543" s="5"/>
      <c r="G543" s="2"/>
      <c r="H543" s="48"/>
    </row>
    <row r="544" spans="1:8" ht="13.8">
      <c r="A544" s="29"/>
      <c r="B544" s="62"/>
      <c r="C544" s="61"/>
      <c r="D544" s="5"/>
      <c r="E544" s="5"/>
      <c r="F544" s="5"/>
      <c r="G544" s="2"/>
      <c r="H544" s="48"/>
    </row>
    <row r="545" spans="1:8" ht="13.8">
      <c r="A545" s="29"/>
      <c r="B545" s="62"/>
      <c r="C545" s="61"/>
      <c r="D545" s="5"/>
      <c r="E545" s="5"/>
      <c r="F545" s="5"/>
      <c r="G545" s="2"/>
      <c r="H545" s="48"/>
    </row>
    <row r="546" spans="1:8" ht="13.8">
      <c r="A546" s="29"/>
      <c r="B546" s="62"/>
      <c r="C546" s="61"/>
      <c r="D546" s="5"/>
      <c r="E546" s="5"/>
      <c r="F546" s="5"/>
      <c r="G546" s="2"/>
      <c r="H546" s="48"/>
    </row>
    <row r="547" spans="1:8" ht="13.8">
      <c r="A547" s="29"/>
      <c r="B547" s="62"/>
      <c r="C547" s="61"/>
      <c r="D547" s="5"/>
      <c r="E547" s="5"/>
      <c r="F547" s="5"/>
      <c r="G547" s="2"/>
      <c r="H547" s="48"/>
    </row>
    <row r="548" spans="1:8" ht="13.8">
      <c r="A548" s="29"/>
      <c r="B548" s="62"/>
      <c r="C548" s="61"/>
      <c r="D548" s="5"/>
      <c r="E548" s="5"/>
      <c r="F548" s="5"/>
      <c r="G548" s="2"/>
      <c r="H548" s="48"/>
    </row>
    <row r="549" spans="1:8" ht="13.8">
      <c r="A549" s="29"/>
      <c r="B549" s="62"/>
      <c r="C549" s="61"/>
      <c r="D549" s="5"/>
      <c r="E549" s="5"/>
      <c r="F549" s="5"/>
      <c r="G549" s="2"/>
      <c r="H549" s="48"/>
    </row>
    <row r="550" spans="1:8" ht="13.8">
      <c r="A550" s="29"/>
      <c r="B550" s="62"/>
      <c r="C550" s="61"/>
      <c r="D550" s="5"/>
      <c r="E550" s="5"/>
      <c r="F550" s="5"/>
      <c r="G550" s="2"/>
      <c r="H550" s="48"/>
    </row>
    <row r="551" spans="1:8" ht="13.8">
      <c r="A551" s="29"/>
      <c r="B551" s="62"/>
      <c r="C551" s="61"/>
      <c r="D551" s="5"/>
      <c r="E551" s="5"/>
      <c r="F551" s="5"/>
      <c r="G551" s="2"/>
      <c r="H551" s="48"/>
    </row>
    <row r="552" spans="1:8" ht="13.8">
      <c r="A552" s="29"/>
      <c r="B552" s="62"/>
      <c r="C552" s="61"/>
      <c r="D552" s="5"/>
      <c r="E552" s="5"/>
      <c r="F552" s="5"/>
      <c r="G552" s="2"/>
      <c r="H552" s="48"/>
    </row>
    <row r="553" spans="1:8" ht="13.8">
      <c r="A553" s="29"/>
      <c r="B553" s="62"/>
      <c r="C553" s="61"/>
      <c r="D553" s="5"/>
      <c r="E553" s="5"/>
      <c r="F553" s="5"/>
      <c r="G553" s="2"/>
      <c r="H553" s="48"/>
    </row>
    <row r="554" spans="1:8" ht="13.8">
      <c r="A554" s="29"/>
      <c r="B554" s="62"/>
      <c r="C554" s="61"/>
      <c r="D554" s="5"/>
      <c r="E554" s="5"/>
      <c r="F554" s="5"/>
      <c r="G554" s="2"/>
      <c r="H554" s="48"/>
    </row>
    <row r="555" spans="1:8" ht="13.8">
      <c r="A555" s="29"/>
      <c r="B555" s="62"/>
      <c r="C555" s="61"/>
      <c r="D555" s="5"/>
      <c r="E555" s="5"/>
      <c r="F555" s="5"/>
      <c r="G555" s="2"/>
      <c r="H555" s="48"/>
    </row>
    <row r="556" spans="1:8" ht="13.8">
      <c r="A556" s="29"/>
      <c r="B556" s="62"/>
      <c r="C556" s="61"/>
      <c r="D556" s="5"/>
      <c r="E556" s="5"/>
      <c r="F556" s="5"/>
      <c r="G556" s="2"/>
      <c r="H556" s="48"/>
    </row>
    <row r="557" spans="1:8" ht="13.8">
      <c r="A557" s="29"/>
      <c r="B557" s="62"/>
      <c r="C557" s="61"/>
      <c r="D557" s="5"/>
      <c r="E557" s="5"/>
      <c r="F557" s="5"/>
      <c r="G557" s="2"/>
      <c r="H557" s="48"/>
    </row>
    <row r="558" spans="1:8" ht="13.8">
      <c r="A558" s="29"/>
      <c r="B558" s="62"/>
      <c r="C558" s="61"/>
      <c r="D558" s="5"/>
      <c r="E558" s="5"/>
      <c r="F558" s="5"/>
      <c r="G558" s="2"/>
      <c r="H558" s="48"/>
    </row>
    <row r="559" spans="1:8" ht="13.8">
      <c r="A559" s="29"/>
      <c r="B559" s="62"/>
      <c r="C559" s="61"/>
      <c r="D559" s="5"/>
      <c r="E559" s="5"/>
      <c r="F559" s="5"/>
      <c r="G559" s="2"/>
      <c r="H559" s="48"/>
    </row>
    <row r="560" spans="1:8" ht="13.8">
      <c r="A560" s="29"/>
      <c r="B560" s="62"/>
      <c r="C560" s="61"/>
      <c r="D560" s="5"/>
      <c r="E560" s="5"/>
      <c r="F560" s="5"/>
      <c r="G560" s="2"/>
      <c r="H560" s="48"/>
    </row>
    <row r="561" spans="1:8" ht="13.8">
      <c r="A561" s="29"/>
      <c r="B561" s="62"/>
      <c r="C561" s="61"/>
      <c r="D561" s="5"/>
      <c r="E561" s="5"/>
      <c r="F561" s="5"/>
      <c r="G561" s="2"/>
      <c r="H561" s="48"/>
    </row>
    <row r="562" spans="1:8" ht="13.8">
      <c r="A562" s="29"/>
      <c r="B562" s="62"/>
      <c r="C562" s="61"/>
      <c r="D562" s="5"/>
      <c r="E562" s="5"/>
      <c r="F562" s="5"/>
      <c r="G562" s="2"/>
      <c r="H562" s="48"/>
    </row>
    <row r="563" spans="1:8" ht="13.8">
      <c r="A563" s="29"/>
      <c r="B563" s="62"/>
      <c r="C563" s="61"/>
      <c r="D563" s="5"/>
      <c r="E563" s="5"/>
      <c r="F563" s="5"/>
      <c r="G563" s="2"/>
      <c r="H563" s="48"/>
    </row>
    <row r="564" spans="1:8" ht="13.8">
      <c r="A564" s="29"/>
      <c r="B564" s="62"/>
      <c r="C564" s="61"/>
      <c r="D564" s="5"/>
      <c r="E564" s="5"/>
      <c r="F564" s="5"/>
      <c r="G564" s="2"/>
      <c r="H564" s="48"/>
    </row>
    <row r="565" spans="1:8" ht="13.8">
      <c r="A565" s="29"/>
      <c r="B565" s="62"/>
      <c r="C565" s="61"/>
      <c r="D565" s="5"/>
      <c r="E565" s="5"/>
      <c r="F565" s="5"/>
      <c r="G565" s="2"/>
      <c r="H565" s="48"/>
    </row>
    <row r="566" spans="1:8" ht="13.8">
      <c r="A566" s="29"/>
      <c r="B566" s="62"/>
      <c r="C566" s="61"/>
      <c r="D566" s="5"/>
      <c r="E566" s="5"/>
      <c r="F566" s="5"/>
      <c r="G566" s="2"/>
      <c r="H566" s="48"/>
    </row>
    <row r="567" spans="1:8" ht="13.8">
      <c r="A567" s="29"/>
      <c r="B567" s="62"/>
      <c r="C567" s="61"/>
      <c r="D567" s="5"/>
      <c r="E567" s="5"/>
      <c r="F567" s="5"/>
      <c r="G567" s="2"/>
      <c r="H567" s="48"/>
    </row>
    <row r="568" spans="1:8" ht="13.8">
      <c r="A568" s="29"/>
      <c r="B568" s="62"/>
      <c r="C568" s="61"/>
      <c r="D568" s="5"/>
      <c r="E568" s="5"/>
      <c r="F568" s="5"/>
      <c r="G568" s="2"/>
      <c r="H568" s="48"/>
    </row>
    <row r="569" spans="1:8" ht="13.8">
      <c r="A569" s="29"/>
      <c r="B569" s="62"/>
      <c r="C569" s="61"/>
      <c r="D569" s="5"/>
      <c r="E569" s="5"/>
      <c r="F569" s="5"/>
      <c r="G569" s="2"/>
      <c r="H569" s="48"/>
    </row>
    <row r="570" spans="1:8" ht="13.8">
      <c r="A570" s="29"/>
      <c r="B570" s="62"/>
      <c r="C570" s="61"/>
      <c r="D570" s="5"/>
      <c r="E570" s="5"/>
      <c r="F570" s="5"/>
      <c r="G570" s="2"/>
      <c r="H570" s="48"/>
    </row>
    <row r="571" spans="1:8" ht="13.8">
      <c r="A571" s="29"/>
      <c r="B571" s="62"/>
      <c r="C571" s="61"/>
      <c r="D571" s="5"/>
      <c r="E571" s="5"/>
      <c r="F571" s="5"/>
      <c r="G571" s="2"/>
      <c r="H571" s="48"/>
    </row>
    <row r="572" spans="1:8" ht="13.8">
      <c r="A572" s="29"/>
      <c r="B572" s="62"/>
      <c r="C572" s="61"/>
      <c r="D572" s="5"/>
      <c r="E572" s="5"/>
      <c r="F572" s="5"/>
      <c r="G572" s="2"/>
      <c r="H572" s="48"/>
    </row>
    <row r="573" spans="1:8" ht="13.8">
      <c r="A573" s="29"/>
      <c r="B573" s="62"/>
      <c r="C573" s="61"/>
      <c r="D573" s="5"/>
      <c r="E573" s="5"/>
      <c r="F573" s="5"/>
      <c r="G573" s="2"/>
      <c r="H573" s="48"/>
    </row>
    <row r="574" spans="1:8" ht="13.8">
      <c r="A574" s="29"/>
      <c r="B574" s="62"/>
      <c r="C574" s="61"/>
      <c r="D574" s="5"/>
      <c r="E574" s="5"/>
      <c r="F574" s="5"/>
      <c r="G574" s="2"/>
      <c r="H574" s="48"/>
    </row>
    <row r="575" spans="1:8" ht="13.8">
      <c r="A575" s="29"/>
      <c r="B575" s="62"/>
      <c r="C575" s="61"/>
      <c r="D575" s="5"/>
      <c r="E575" s="5"/>
      <c r="F575" s="5"/>
      <c r="G575" s="2"/>
      <c r="H575" s="48"/>
    </row>
    <row r="576" spans="1:8" ht="13.8">
      <c r="A576" s="29"/>
      <c r="B576" s="62"/>
      <c r="C576" s="61"/>
      <c r="D576" s="5"/>
      <c r="E576" s="5"/>
      <c r="F576" s="5"/>
      <c r="G576" s="2"/>
      <c r="H576" s="48"/>
    </row>
    <row r="577" spans="1:8" ht="13.8">
      <c r="A577" s="29"/>
      <c r="B577" s="62"/>
      <c r="C577" s="61"/>
      <c r="D577" s="5"/>
      <c r="E577" s="5"/>
      <c r="F577" s="5"/>
      <c r="G577" s="2"/>
      <c r="H577" s="48"/>
    </row>
    <row r="578" spans="1:8" ht="13.8">
      <c r="A578" s="29"/>
      <c r="B578" s="62"/>
      <c r="C578" s="61"/>
      <c r="D578" s="5"/>
      <c r="E578" s="5"/>
      <c r="F578" s="5"/>
      <c r="G578" s="2"/>
      <c r="H578" s="48"/>
    </row>
    <row r="579" spans="1:8" ht="13.8">
      <c r="A579" s="29"/>
      <c r="B579" s="62"/>
      <c r="C579" s="61"/>
      <c r="D579" s="5"/>
      <c r="E579" s="5"/>
      <c r="F579" s="5"/>
      <c r="G579" s="2"/>
      <c r="H579" s="48"/>
    </row>
    <row r="580" spans="1:8" ht="13.8">
      <c r="A580" s="29"/>
      <c r="B580" s="62"/>
      <c r="C580" s="61"/>
      <c r="D580" s="5"/>
      <c r="E580" s="5"/>
      <c r="F580" s="5"/>
      <c r="G580" s="2"/>
      <c r="H580" s="48"/>
    </row>
    <row r="581" spans="1:8" ht="13.8">
      <c r="A581" s="29"/>
      <c r="B581" s="62"/>
      <c r="C581" s="61"/>
      <c r="D581" s="5"/>
      <c r="E581" s="5"/>
      <c r="F581" s="5"/>
      <c r="G581" s="2"/>
      <c r="H581" s="48"/>
    </row>
    <row r="582" spans="1:8" ht="13.8">
      <c r="A582" s="29"/>
      <c r="B582" s="62"/>
      <c r="C582" s="61"/>
      <c r="D582" s="5"/>
      <c r="E582" s="5"/>
      <c r="F582" s="5"/>
      <c r="G582" s="2"/>
      <c r="H582" s="48"/>
    </row>
    <row r="583" spans="1:8" ht="13.8">
      <c r="A583" s="29"/>
      <c r="B583" s="62"/>
      <c r="C583" s="61"/>
      <c r="D583" s="5"/>
      <c r="E583" s="5"/>
      <c r="F583" s="5"/>
      <c r="G583" s="2"/>
      <c r="H583" s="48"/>
    </row>
    <row r="584" spans="1:8" ht="13.8">
      <c r="A584" s="29"/>
      <c r="B584" s="62"/>
      <c r="C584" s="61"/>
      <c r="D584" s="5"/>
      <c r="E584" s="5"/>
      <c r="F584" s="5"/>
      <c r="G584" s="2"/>
      <c r="H584" s="48"/>
    </row>
    <row r="585" spans="1:8" ht="13.8">
      <c r="A585" s="29"/>
      <c r="B585" s="62"/>
      <c r="C585" s="61"/>
      <c r="D585" s="5"/>
      <c r="E585" s="5"/>
      <c r="F585" s="5"/>
      <c r="G585" s="2"/>
      <c r="H585" s="48"/>
    </row>
    <row r="586" spans="1:8" ht="13.8">
      <c r="A586" s="29"/>
      <c r="B586" s="62"/>
      <c r="C586" s="61"/>
      <c r="D586" s="5"/>
      <c r="E586" s="5"/>
      <c r="F586" s="5"/>
      <c r="G586" s="2"/>
      <c r="H586" s="48"/>
    </row>
    <row r="587" spans="1:8" ht="13.8">
      <c r="A587" s="29"/>
      <c r="B587" s="62"/>
      <c r="C587" s="61"/>
      <c r="D587" s="5"/>
      <c r="E587" s="5"/>
      <c r="F587" s="5"/>
      <c r="G587" s="2"/>
      <c r="H587" s="48"/>
    </row>
    <row r="588" spans="1:8" ht="13.8">
      <c r="A588" s="29"/>
      <c r="B588" s="62"/>
      <c r="C588" s="61"/>
      <c r="D588" s="5"/>
      <c r="E588" s="5"/>
      <c r="F588" s="5"/>
      <c r="G588" s="2"/>
      <c r="H588" s="48"/>
    </row>
    <row r="589" spans="1:8" ht="13.8">
      <c r="A589" s="29"/>
      <c r="B589" s="62"/>
      <c r="C589" s="61"/>
      <c r="D589" s="5"/>
      <c r="E589" s="5"/>
      <c r="F589" s="5"/>
      <c r="G589" s="2"/>
      <c r="H589" s="48"/>
    </row>
    <row r="590" spans="1:8" ht="13.8">
      <c r="A590" s="29"/>
      <c r="B590" s="62"/>
      <c r="C590" s="61"/>
      <c r="D590" s="5"/>
      <c r="E590" s="5"/>
      <c r="F590" s="5"/>
      <c r="G590" s="2"/>
      <c r="H590" s="48"/>
    </row>
    <row r="591" spans="1:8" ht="13.8">
      <c r="A591" s="29"/>
      <c r="B591" s="62"/>
      <c r="C591" s="61"/>
      <c r="D591" s="5"/>
      <c r="E591" s="5"/>
      <c r="F591" s="5"/>
      <c r="G591" s="2"/>
      <c r="H591" s="48"/>
    </row>
    <row r="592" spans="1:8" ht="13.8">
      <c r="A592" s="29"/>
      <c r="B592" s="62"/>
      <c r="C592" s="61"/>
      <c r="D592" s="5"/>
      <c r="E592" s="5"/>
      <c r="F592" s="5"/>
      <c r="G592" s="2"/>
      <c r="H592" s="48"/>
    </row>
    <row r="593" spans="1:8" ht="13.8">
      <c r="A593" s="29"/>
      <c r="B593" s="62"/>
      <c r="C593" s="61"/>
      <c r="D593" s="5"/>
      <c r="E593" s="5"/>
      <c r="F593" s="5"/>
      <c r="G593" s="2"/>
      <c r="H593" s="48"/>
    </row>
    <row r="594" spans="1:8" ht="13.8">
      <c r="A594" s="29"/>
      <c r="B594" s="62"/>
      <c r="C594" s="61"/>
      <c r="D594" s="5"/>
      <c r="E594" s="5"/>
      <c r="F594" s="5"/>
      <c r="G594" s="2"/>
      <c r="H594" s="48"/>
    </row>
    <row r="595" spans="1:8" ht="13.8">
      <c r="A595" s="29"/>
      <c r="B595" s="62"/>
      <c r="C595" s="61"/>
      <c r="D595" s="5"/>
      <c r="E595" s="5"/>
      <c r="F595" s="5"/>
      <c r="G595" s="2"/>
      <c r="H595" s="48"/>
    </row>
    <row r="596" spans="1:8" ht="13.8">
      <c r="A596" s="29"/>
      <c r="B596" s="62"/>
      <c r="C596" s="61"/>
      <c r="D596" s="5"/>
      <c r="E596" s="5"/>
      <c r="F596" s="5"/>
      <c r="G596" s="2"/>
      <c r="H596" s="48"/>
    </row>
    <row r="597" spans="1:8" ht="13.8">
      <c r="A597" s="29"/>
      <c r="B597" s="62"/>
      <c r="C597" s="61"/>
      <c r="D597" s="5"/>
      <c r="E597" s="5"/>
      <c r="F597" s="5"/>
      <c r="G597" s="2"/>
      <c r="H597" s="48"/>
    </row>
    <row r="598" spans="1:8" ht="13.8">
      <c r="A598" s="29"/>
      <c r="B598" s="62"/>
      <c r="C598" s="61"/>
      <c r="D598" s="5"/>
      <c r="E598" s="5"/>
      <c r="F598" s="5"/>
      <c r="G598" s="2"/>
      <c r="H598" s="48"/>
    </row>
    <row r="599" spans="1:8" ht="13.8">
      <c r="A599" s="29"/>
      <c r="B599" s="62"/>
      <c r="C599" s="61"/>
      <c r="D599" s="5"/>
      <c r="E599" s="5"/>
      <c r="F599" s="5"/>
      <c r="G599" s="2"/>
      <c r="H599" s="48"/>
    </row>
    <row r="600" spans="1:8" ht="13.8">
      <c r="A600" s="29"/>
      <c r="B600" s="62"/>
      <c r="C600" s="61"/>
      <c r="D600" s="5"/>
      <c r="E600" s="5"/>
      <c r="F600" s="5"/>
      <c r="G600" s="2"/>
      <c r="H600" s="48"/>
    </row>
    <row r="601" spans="1:8" ht="13.8">
      <c r="A601" s="29"/>
      <c r="B601" s="62"/>
      <c r="C601" s="61"/>
      <c r="D601" s="5"/>
      <c r="E601" s="5"/>
      <c r="F601" s="5"/>
      <c r="G601" s="2"/>
      <c r="H601" s="48"/>
    </row>
    <row r="602" spans="1:8" ht="13.8">
      <c r="A602" s="29"/>
      <c r="B602" s="62"/>
      <c r="C602" s="61"/>
      <c r="D602" s="5"/>
      <c r="E602" s="5"/>
      <c r="F602" s="5"/>
      <c r="G602" s="2"/>
      <c r="H602" s="48"/>
    </row>
    <row r="603" spans="1:8" ht="13.8">
      <c r="A603" s="29"/>
      <c r="B603" s="62"/>
      <c r="C603" s="61"/>
      <c r="D603" s="5"/>
      <c r="E603" s="5"/>
      <c r="F603" s="5"/>
      <c r="G603" s="2"/>
      <c r="H603" s="48"/>
    </row>
    <row r="604" spans="1:8" ht="13.8">
      <c r="A604" s="29"/>
      <c r="B604" s="62"/>
      <c r="C604" s="61"/>
      <c r="D604" s="5"/>
      <c r="E604" s="5"/>
      <c r="F604" s="5"/>
      <c r="G604" s="2"/>
      <c r="H604" s="48"/>
    </row>
    <row r="605" spans="1:8" ht="13.8">
      <c r="A605" s="29"/>
      <c r="B605" s="62"/>
      <c r="C605" s="61"/>
      <c r="D605" s="5"/>
      <c r="E605" s="5"/>
      <c r="F605" s="5"/>
      <c r="G605" s="2"/>
      <c r="H605" s="48"/>
    </row>
    <row r="606" spans="1:8" ht="13.8">
      <c r="A606" s="29"/>
      <c r="B606" s="62"/>
      <c r="C606" s="61"/>
      <c r="D606" s="5"/>
      <c r="E606" s="5"/>
      <c r="F606" s="5"/>
      <c r="G606" s="2"/>
      <c r="H606" s="48"/>
    </row>
    <row r="607" spans="1:8" ht="13.8">
      <c r="A607" s="29"/>
      <c r="B607" s="62"/>
      <c r="C607" s="61"/>
      <c r="D607" s="5"/>
      <c r="E607" s="5"/>
      <c r="F607" s="5"/>
      <c r="G607" s="2"/>
      <c r="H607" s="48"/>
    </row>
    <row r="608" spans="1:8" ht="13.8">
      <c r="A608" s="29"/>
      <c r="B608" s="62"/>
      <c r="C608" s="61"/>
      <c r="D608" s="5"/>
      <c r="E608" s="5"/>
      <c r="F608" s="5"/>
      <c r="G608" s="2"/>
      <c r="H608" s="48"/>
    </row>
    <row r="609" spans="1:8" ht="13.8">
      <c r="A609" s="29"/>
      <c r="B609" s="62"/>
      <c r="C609" s="61"/>
      <c r="D609" s="5"/>
      <c r="E609" s="5"/>
      <c r="F609" s="5"/>
      <c r="G609" s="2"/>
      <c r="H609" s="48"/>
    </row>
    <row r="610" spans="1:8" ht="13.8">
      <c r="A610" s="29"/>
      <c r="B610" s="62"/>
      <c r="C610" s="61"/>
      <c r="D610" s="5"/>
      <c r="E610" s="5"/>
      <c r="F610" s="5"/>
      <c r="G610" s="2"/>
      <c r="H610" s="48"/>
    </row>
    <row r="611" spans="1:8" ht="13.8">
      <c r="A611" s="29"/>
      <c r="B611" s="62"/>
      <c r="C611" s="61"/>
      <c r="D611" s="5"/>
      <c r="E611" s="5"/>
      <c r="F611" s="5"/>
      <c r="G611" s="2"/>
      <c r="H611" s="48"/>
    </row>
    <row r="612" spans="1:8" ht="13.8">
      <c r="A612" s="29"/>
      <c r="B612" s="62"/>
      <c r="C612" s="61"/>
      <c r="D612" s="5"/>
      <c r="E612" s="5"/>
      <c r="F612" s="5"/>
      <c r="G612" s="2"/>
      <c r="H612" s="48"/>
    </row>
    <row r="613" spans="1:8" ht="13.8">
      <c r="A613" s="29"/>
      <c r="B613" s="62"/>
      <c r="C613" s="61"/>
      <c r="D613" s="5"/>
      <c r="E613" s="5"/>
      <c r="F613" s="5"/>
      <c r="G613" s="2"/>
      <c r="H613" s="48"/>
    </row>
    <row r="614" spans="1:8" ht="13.8">
      <c r="A614" s="29"/>
      <c r="B614" s="62"/>
      <c r="C614" s="61"/>
      <c r="D614" s="5"/>
      <c r="E614" s="5"/>
      <c r="F614" s="5"/>
      <c r="G614" s="2"/>
      <c r="H614" s="48"/>
    </row>
    <row r="615" spans="1:8" ht="13.8">
      <c r="A615" s="29"/>
      <c r="B615" s="62"/>
      <c r="C615" s="61"/>
      <c r="D615" s="5"/>
      <c r="E615" s="5"/>
      <c r="F615" s="5"/>
      <c r="G615" s="2"/>
      <c r="H615" s="48"/>
    </row>
    <row r="616" spans="1:8" ht="13.8">
      <c r="A616" s="29"/>
      <c r="B616" s="62"/>
      <c r="C616" s="61"/>
      <c r="D616" s="5"/>
      <c r="E616" s="5"/>
      <c r="F616" s="5"/>
      <c r="G616" s="2"/>
      <c r="H616" s="48"/>
    </row>
    <row r="617" spans="1:8" ht="13.8">
      <c r="A617" s="29"/>
      <c r="B617" s="62"/>
      <c r="C617" s="61"/>
      <c r="D617" s="5"/>
      <c r="E617" s="5"/>
      <c r="F617" s="5"/>
      <c r="G617" s="2"/>
      <c r="H617" s="48"/>
    </row>
    <row r="618" spans="1:8" ht="13.8">
      <c r="A618" s="29"/>
      <c r="B618" s="62"/>
      <c r="C618" s="61"/>
      <c r="D618" s="5"/>
      <c r="E618" s="5"/>
      <c r="F618" s="5"/>
      <c r="G618" s="2"/>
      <c r="H618" s="48"/>
    </row>
    <row r="619" spans="1:8" ht="13.8">
      <c r="A619" s="29"/>
      <c r="B619" s="62"/>
      <c r="C619" s="61"/>
      <c r="D619" s="5"/>
      <c r="E619" s="5"/>
      <c r="F619" s="5"/>
      <c r="G619" s="2"/>
      <c r="H619" s="48"/>
    </row>
    <row r="620" spans="1:8" ht="13.8">
      <c r="A620" s="29"/>
      <c r="B620" s="62"/>
      <c r="C620" s="61"/>
      <c r="D620" s="5"/>
      <c r="E620" s="5"/>
      <c r="F620" s="5"/>
      <c r="G620" s="2"/>
      <c r="H620" s="48"/>
    </row>
    <row r="621" spans="1:8" ht="13.8">
      <c r="A621" s="29"/>
      <c r="B621" s="62"/>
      <c r="C621" s="61"/>
      <c r="D621" s="5"/>
      <c r="E621" s="5"/>
      <c r="F621" s="5"/>
      <c r="G621" s="2"/>
      <c r="H621" s="48"/>
    </row>
    <row r="622" spans="1:8" ht="13.8">
      <c r="A622" s="29"/>
      <c r="B622" s="62"/>
      <c r="C622" s="61"/>
      <c r="D622" s="5"/>
      <c r="E622" s="5"/>
      <c r="F622" s="5"/>
      <c r="G622" s="2"/>
      <c r="H622" s="48"/>
    </row>
    <row r="623" spans="1:8" ht="13.8">
      <c r="A623" s="29"/>
      <c r="B623" s="62"/>
      <c r="C623" s="61"/>
      <c r="D623" s="5"/>
      <c r="E623" s="5"/>
      <c r="F623" s="5"/>
      <c r="G623" s="2"/>
      <c r="H623" s="48"/>
    </row>
    <row r="624" spans="1:8" ht="13.8">
      <c r="A624" s="29"/>
      <c r="B624" s="62"/>
      <c r="C624" s="61"/>
      <c r="D624" s="5"/>
      <c r="E624" s="5"/>
      <c r="F624" s="5"/>
      <c r="G624" s="2"/>
      <c r="H624" s="48"/>
    </row>
    <row r="625" spans="1:8" ht="13.8">
      <c r="A625" s="29"/>
      <c r="B625" s="62"/>
      <c r="C625" s="61"/>
      <c r="D625" s="5"/>
      <c r="E625" s="5"/>
      <c r="F625" s="5"/>
      <c r="G625" s="2"/>
      <c r="H625" s="48"/>
    </row>
    <row r="626" spans="1:8" ht="13.8">
      <c r="A626" s="29"/>
      <c r="B626" s="62"/>
      <c r="C626" s="61"/>
      <c r="D626" s="5"/>
      <c r="E626" s="5"/>
      <c r="F626" s="5"/>
      <c r="G626" s="2"/>
      <c r="H626" s="48"/>
    </row>
    <row r="627" spans="1:8" ht="13.8">
      <c r="A627" s="29"/>
      <c r="B627" s="62"/>
      <c r="C627" s="61"/>
      <c r="D627" s="5"/>
      <c r="E627" s="5"/>
      <c r="F627" s="5"/>
      <c r="G627" s="2"/>
      <c r="H627" s="48"/>
    </row>
    <row r="628" spans="1:8" ht="13.8">
      <c r="A628" s="29"/>
      <c r="B628" s="62"/>
      <c r="C628" s="61"/>
      <c r="D628" s="5"/>
      <c r="E628" s="5"/>
      <c r="F628" s="5"/>
      <c r="G628" s="2"/>
      <c r="H628" s="48"/>
    </row>
    <row r="629" spans="1:8" ht="13.8">
      <c r="A629" s="29"/>
      <c r="B629" s="62"/>
      <c r="C629" s="61"/>
      <c r="D629" s="5"/>
      <c r="E629" s="5"/>
      <c r="F629" s="5"/>
      <c r="G629" s="2"/>
      <c r="H629" s="48"/>
    </row>
    <row r="630" spans="1:8" ht="13.8">
      <c r="A630" s="29"/>
      <c r="B630" s="62"/>
      <c r="C630" s="61"/>
      <c r="D630" s="5"/>
      <c r="E630" s="5"/>
      <c r="F630" s="5"/>
      <c r="G630" s="2"/>
      <c r="H630" s="48"/>
    </row>
    <row r="631" spans="1:8" ht="13.8">
      <c r="A631" s="29"/>
      <c r="B631" s="62"/>
      <c r="C631" s="61"/>
      <c r="D631" s="5"/>
      <c r="E631" s="5"/>
      <c r="F631" s="5"/>
      <c r="G631" s="2"/>
      <c r="H631" s="48"/>
    </row>
    <row r="632" spans="1:8" ht="13.8">
      <c r="A632" s="29"/>
      <c r="B632" s="62"/>
      <c r="C632" s="61"/>
      <c r="D632" s="5"/>
      <c r="E632" s="5"/>
      <c r="F632" s="5"/>
      <c r="G632" s="2"/>
      <c r="H632" s="48"/>
    </row>
    <row r="633" spans="1:8" ht="13.8">
      <c r="A633" s="29"/>
      <c r="B633" s="62"/>
      <c r="C633" s="61"/>
      <c r="D633" s="5"/>
      <c r="E633" s="5"/>
      <c r="F633" s="5"/>
      <c r="G633" s="2"/>
      <c r="H633" s="48"/>
    </row>
    <row r="634" spans="1:8" ht="13.8">
      <c r="A634" s="29"/>
      <c r="B634" s="62"/>
      <c r="C634" s="61"/>
      <c r="D634" s="5"/>
      <c r="E634" s="5"/>
      <c r="F634" s="5"/>
      <c r="G634" s="2"/>
      <c r="H634" s="48"/>
    </row>
    <row r="635" spans="1:8" ht="13.8">
      <c r="A635" s="29"/>
      <c r="B635" s="62"/>
      <c r="C635" s="61"/>
      <c r="D635" s="5"/>
      <c r="E635" s="5"/>
      <c r="F635" s="5"/>
      <c r="G635" s="2"/>
      <c r="H635" s="48"/>
    </row>
    <row r="636" spans="1:8" ht="13.8">
      <c r="A636" s="29"/>
      <c r="B636" s="62"/>
      <c r="C636" s="61"/>
      <c r="D636" s="5"/>
      <c r="E636" s="5"/>
      <c r="F636" s="5"/>
      <c r="G636" s="2"/>
      <c r="H636" s="48"/>
    </row>
    <row r="637" spans="1:8" ht="13.8">
      <c r="A637" s="29"/>
      <c r="B637" s="62"/>
      <c r="C637" s="61"/>
      <c r="D637" s="5"/>
      <c r="E637" s="5"/>
      <c r="F637" s="5"/>
      <c r="G637" s="2"/>
      <c r="H637" s="48"/>
    </row>
    <row r="638" spans="1:8" ht="13.8">
      <c r="A638" s="29"/>
      <c r="B638" s="62"/>
      <c r="C638" s="61"/>
      <c r="D638" s="5"/>
      <c r="E638" s="5"/>
      <c r="F638" s="5"/>
      <c r="G638" s="2"/>
      <c r="H638" s="48"/>
    </row>
    <row r="639" spans="1:8" ht="13.8">
      <c r="A639" s="29"/>
      <c r="B639" s="62"/>
      <c r="C639" s="61"/>
      <c r="D639" s="5"/>
      <c r="E639" s="5"/>
      <c r="F639" s="5"/>
      <c r="G639" s="2"/>
      <c r="H639" s="48"/>
    </row>
    <row r="640" spans="1:8" ht="13.8">
      <c r="A640" s="29"/>
      <c r="B640" s="62"/>
      <c r="C640" s="61"/>
      <c r="D640" s="5"/>
      <c r="E640" s="5"/>
      <c r="F640" s="5"/>
      <c r="G640" s="2"/>
      <c r="H640" s="48"/>
    </row>
    <row r="641" spans="1:8" ht="13.8">
      <c r="A641" s="29"/>
      <c r="B641" s="62"/>
      <c r="C641" s="61"/>
      <c r="D641" s="5"/>
      <c r="E641" s="5"/>
      <c r="F641" s="5"/>
      <c r="G641" s="2"/>
      <c r="H641" s="48"/>
    </row>
    <row r="642" spans="1:8" ht="13.8">
      <c r="A642" s="29"/>
      <c r="B642" s="62"/>
      <c r="C642" s="61"/>
      <c r="D642" s="5"/>
      <c r="E642" s="5"/>
      <c r="F642" s="5"/>
      <c r="G642" s="2"/>
      <c r="H642" s="48"/>
    </row>
    <row r="643" spans="1:8" ht="13.8">
      <c r="A643" s="29"/>
      <c r="B643" s="62"/>
      <c r="C643" s="61"/>
      <c r="D643" s="5"/>
      <c r="E643" s="5"/>
      <c r="F643" s="5"/>
      <c r="G643" s="2"/>
      <c r="H643" s="48"/>
    </row>
    <row r="644" spans="1:8" ht="13.8">
      <c r="A644" s="29"/>
      <c r="B644" s="62"/>
      <c r="C644" s="61"/>
      <c r="D644" s="5"/>
      <c r="E644" s="5"/>
      <c r="F644" s="5"/>
      <c r="G644" s="2"/>
      <c r="H644" s="48"/>
    </row>
    <row r="645" spans="1:8" ht="13.8">
      <c r="A645" s="29"/>
      <c r="B645" s="62"/>
      <c r="C645" s="61"/>
      <c r="D645" s="5"/>
      <c r="E645" s="5"/>
      <c r="F645" s="5"/>
      <c r="G645" s="2"/>
      <c r="H645" s="48"/>
    </row>
    <row r="646" spans="1:8" ht="13.8">
      <c r="A646" s="29"/>
      <c r="B646" s="62"/>
      <c r="C646" s="61"/>
      <c r="D646" s="5"/>
      <c r="E646" s="5"/>
      <c r="F646" s="5"/>
      <c r="G646" s="2"/>
      <c r="H646" s="48"/>
    </row>
    <row r="647" spans="1:8" ht="13.8">
      <c r="A647" s="29"/>
      <c r="B647" s="62"/>
      <c r="C647" s="61"/>
      <c r="D647" s="5"/>
      <c r="E647" s="5"/>
      <c r="F647" s="5"/>
      <c r="G647" s="2"/>
      <c r="H647" s="48"/>
    </row>
    <row r="648" spans="1:8" ht="13.8">
      <c r="A648" s="29"/>
      <c r="B648" s="62"/>
      <c r="C648" s="61"/>
      <c r="D648" s="5"/>
      <c r="E648" s="5"/>
      <c r="F648" s="5"/>
      <c r="G648" s="2"/>
      <c r="H648" s="48"/>
    </row>
    <row r="649" spans="1:8" ht="13.8">
      <c r="A649" s="29"/>
      <c r="B649" s="62"/>
      <c r="C649" s="61"/>
      <c r="D649" s="5"/>
      <c r="E649" s="5"/>
      <c r="F649" s="5"/>
      <c r="G649" s="2"/>
      <c r="H649" s="48"/>
    </row>
    <row r="650" spans="1:8" ht="13.8">
      <c r="A650" s="29"/>
      <c r="B650" s="62"/>
      <c r="C650" s="61"/>
      <c r="D650" s="5"/>
      <c r="E650" s="5"/>
      <c r="F650" s="5"/>
      <c r="G650" s="2"/>
      <c r="H650" s="48"/>
    </row>
    <row r="651" spans="1:8" ht="13.8">
      <c r="A651" s="29"/>
      <c r="B651" s="62"/>
      <c r="C651" s="61"/>
      <c r="D651" s="5"/>
      <c r="E651" s="5"/>
      <c r="F651" s="5"/>
      <c r="G651" s="2"/>
      <c r="H651" s="48"/>
    </row>
    <row r="652" spans="1:8" ht="13.8">
      <c r="A652" s="29"/>
      <c r="B652" s="62"/>
      <c r="C652" s="61"/>
      <c r="D652" s="5"/>
      <c r="E652" s="5"/>
      <c r="F652" s="5"/>
      <c r="G652" s="2"/>
      <c r="H652" s="48"/>
    </row>
    <row r="653" spans="1:8" ht="13.8">
      <c r="A653" s="29"/>
      <c r="B653" s="62"/>
      <c r="C653" s="61"/>
      <c r="D653" s="5"/>
      <c r="E653" s="5"/>
      <c r="F653" s="5"/>
      <c r="G653" s="2"/>
      <c r="H653" s="48"/>
    </row>
    <row r="654" spans="1:8" ht="13.8">
      <c r="A654" s="29"/>
      <c r="B654" s="62"/>
      <c r="C654" s="61"/>
      <c r="D654" s="5"/>
      <c r="E654" s="5"/>
      <c r="F654" s="5"/>
      <c r="G654" s="2"/>
      <c r="H654" s="48"/>
    </row>
    <row r="655" spans="1:8" ht="13.8">
      <c r="A655" s="29"/>
      <c r="B655" s="62"/>
      <c r="C655" s="61"/>
      <c r="D655" s="5"/>
      <c r="E655" s="5"/>
      <c r="F655" s="5"/>
      <c r="G655" s="2"/>
      <c r="H655" s="48"/>
    </row>
    <row r="656" spans="1:8" ht="13.8">
      <c r="A656" s="29"/>
      <c r="B656" s="62"/>
      <c r="C656" s="61"/>
      <c r="D656" s="5"/>
      <c r="E656" s="5"/>
      <c r="F656" s="5"/>
      <c r="G656" s="2"/>
      <c r="H656" s="48"/>
    </row>
    <row r="657" spans="1:8" ht="13.8">
      <c r="A657" s="29"/>
      <c r="B657" s="62"/>
      <c r="C657" s="61"/>
      <c r="D657" s="5"/>
      <c r="E657" s="5"/>
      <c r="F657" s="5"/>
      <c r="G657" s="2"/>
      <c r="H657" s="48"/>
    </row>
    <row r="658" spans="1:8" ht="13.8">
      <c r="A658" s="29"/>
      <c r="B658" s="62"/>
      <c r="C658" s="61"/>
      <c r="D658" s="5"/>
      <c r="E658" s="5"/>
      <c r="F658" s="5"/>
      <c r="G658" s="2"/>
      <c r="H658" s="48"/>
    </row>
    <row r="659" spans="1:8" ht="13.8">
      <c r="A659" s="29"/>
      <c r="B659" s="62"/>
      <c r="C659" s="61"/>
      <c r="D659" s="5"/>
      <c r="E659" s="5"/>
      <c r="F659" s="5"/>
      <c r="G659" s="2"/>
      <c r="H659" s="48"/>
    </row>
    <row r="660" spans="1:8" ht="13.8">
      <c r="A660" s="29"/>
      <c r="B660" s="62"/>
      <c r="C660" s="61"/>
      <c r="D660" s="5"/>
      <c r="E660" s="5"/>
      <c r="F660" s="5"/>
      <c r="G660" s="2"/>
      <c r="H660" s="48"/>
    </row>
    <row r="661" spans="1:8" ht="13.8">
      <c r="A661" s="29"/>
      <c r="B661" s="62"/>
      <c r="C661" s="61"/>
      <c r="D661" s="5"/>
      <c r="E661" s="5"/>
      <c r="F661" s="5"/>
      <c r="G661" s="2"/>
      <c r="H661" s="48"/>
    </row>
    <row r="662" spans="1:8" ht="13.8">
      <c r="A662" s="29"/>
      <c r="B662" s="62"/>
      <c r="C662" s="61"/>
      <c r="D662" s="5"/>
      <c r="E662" s="5"/>
      <c r="F662" s="5"/>
      <c r="G662" s="2"/>
      <c r="H662" s="48"/>
    </row>
    <row r="663" spans="1:8" ht="13.8">
      <c r="A663" s="29"/>
      <c r="B663" s="62"/>
      <c r="C663" s="61"/>
      <c r="D663" s="5"/>
      <c r="E663" s="5"/>
      <c r="F663" s="5"/>
      <c r="G663" s="2"/>
      <c r="H663" s="48"/>
    </row>
    <row r="664" spans="1:8" ht="13.8">
      <c r="A664" s="29"/>
      <c r="B664" s="62"/>
      <c r="C664" s="61"/>
      <c r="D664" s="5"/>
      <c r="E664" s="5"/>
      <c r="F664" s="5"/>
      <c r="G664" s="2"/>
      <c r="H664" s="48"/>
    </row>
    <row r="665" spans="1:8" ht="13.8">
      <c r="A665" s="29"/>
      <c r="B665" s="62"/>
      <c r="C665" s="61"/>
      <c r="D665" s="5"/>
      <c r="E665" s="5"/>
      <c r="F665" s="5"/>
      <c r="G665" s="2"/>
      <c r="H665" s="48"/>
    </row>
    <row r="666" spans="1:8" ht="13.8">
      <c r="A666" s="29"/>
      <c r="B666" s="62"/>
      <c r="C666" s="61"/>
      <c r="D666" s="5"/>
      <c r="E666" s="5"/>
      <c r="F666" s="5"/>
      <c r="G666" s="2"/>
      <c r="H666" s="48"/>
    </row>
    <row r="667" spans="1:8" ht="13.8">
      <c r="A667" s="29"/>
      <c r="B667" s="62"/>
      <c r="C667" s="61"/>
      <c r="D667" s="5"/>
      <c r="E667" s="5"/>
      <c r="F667" s="5"/>
      <c r="G667" s="2"/>
      <c r="H667" s="48"/>
    </row>
    <row r="668" spans="1:8" ht="13.8">
      <c r="A668" s="29"/>
      <c r="B668" s="62"/>
      <c r="C668" s="61"/>
      <c r="D668" s="5"/>
      <c r="E668" s="5"/>
      <c r="F668" s="5"/>
      <c r="G668" s="2"/>
      <c r="H668" s="48"/>
    </row>
    <row r="669" spans="1:8" ht="13.8">
      <c r="A669" s="29"/>
      <c r="B669" s="62"/>
      <c r="C669" s="61"/>
      <c r="D669" s="5"/>
      <c r="E669" s="5"/>
      <c r="F669" s="5"/>
      <c r="G669" s="2"/>
      <c r="H669" s="48"/>
    </row>
    <row r="670" spans="1:8" ht="13.8">
      <c r="A670" s="29"/>
      <c r="B670" s="62"/>
      <c r="C670" s="61"/>
      <c r="D670" s="5"/>
      <c r="E670" s="5"/>
      <c r="F670" s="5"/>
      <c r="G670" s="2"/>
      <c r="H670" s="48"/>
    </row>
    <row r="671" spans="1:8" ht="13.8">
      <c r="A671" s="29"/>
      <c r="B671" s="62"/>
      <c r="C671" s="61"/>
      <c r="D671" s="5"/>
      <c r="E671" s="5"/>
      <c r="F671" s="5"/>
      <c r="G671" s="2"/>
      <c r="H671" s="48"/>
    </row>
    <row r="672" spans="1:8" ht="13.8">
      <c r="A672" s="29"/>
      <c r="B672" s="62"/>
      <c r="C672" s="61"/>
      <c r="D672" s="5"/>
      <c r="E672" s="5"/>
      <c r="F672" s="5"/>
      <c r="G672" s="2"/>
      <c r="H672" s="48"/>
    </row>
    <row r="673" spans="1:8" ht="13.8">
      <c r="A673" s="29"/>
      <c r="B673" s="62"/>
      <c r="C673" s="61"/>
      <c r="D673" s="5"/>
      <c r="E673" s="5"/>
      <c r="F673" s="5"/>
      <c r="G673" s="2"/>
      <c r="H673" s="48"/>
    </row>
    <row r="674" spans="1:8" ht="13.8">
      <c r="A674" s="29"/>
      <c r="B674" s="62"/>
      <c r="C674" s="61"/>
      <c r="D674" s="5"/>
      <c r="E674" s="5"/>
      <c r="F674" s="5"/>
      <c r="G674" s="2"/>
      <c r="H674" s="48"/>
    </row>
    <row r="675" spans="1:8" ht="13.8">
      <c r="A675" s="29"/>
      <c r="B675" s="62"/>
      <c r="C675" s="61"/>
      <c r="D675" s="5"/>
      <c r="E675" s="5"/>
      <c r="F675" s="5"/>
      <c r="G675" s="2"/>
      <c r="H675" s="48"/>
    </row>
    <row r="676" spans="1:8" ht="13.8">
      <c r="A676" s="29"/>
      <c r="B676" s="62"/>
      <c r="C676" s="61"/>
      <c r="D676" s="5"/>
      <c r="E676" s="5"/>
      <c r="F676" s="5"/>
      <c r="G676" s="2"/>
      <c r="H676" s="48"/>
    </row>
    <row r="677" spans="1:8" ht="13.8">
      <c r="A677" s="29"/>
      <c r="B677" s="62"/>
      <c r="C677" s="61"/>
      <c r="D677" s="5"/>
      <c r="E677" s="5"/>
      <c r="F677" s="5"/>
      <c r="G677" s="2"/>
      <c r="H677" s="48"/>
    </row>
    <row r="678" spans="1:8" ht="13.8">
      <c r="A678" s="29"/>
      <c r="B678" s="62"/>
      <c r="C678" s="61"/>
      <c r="D678" s="5"/>
      <c r="E678" s="5"/>
      <c r="F678" s="5"/>
      <c r="G678" s="2"/>
      <c r="H678" s="48"/>
    </row>
    <row r="679" spans="1:8" ht="13.8">
      <c r="A679" s="29"/>
      <c r="B679" s="62"/>
      <c r="C679" s="61"/>
      <c r="D679" s="5"/>
      <c r="E679" s="5"/>
      <c r="F679" s="5"/>
      <c r="G679" s="2"/>
      <c r="H679" s="48"/>
    </row>
    <row r="680" spans="1:8" ht="13.8">
      <c r="A680" s="29"/>
      <c r="B680" s="62"/>
      <c r="C680" s="61"/>
      <c r="D680" s="5"/>
      <c r="E680" s="5"/>
      <c r="F680" s="5"/>
      <c r="G680" s="2"/>
      <c r="H680" s="48"/>
    </row>
    <row r="681" spans="1:8" ht="13.8">
      <c r="A681" s="29"/>
      <c r="B681" s="62"/>
      <c r="C681" s="61"/>
      <c r="D681" s="5"/>
      <c r="E681" s="5"/>
      <c r="F681" s="5"/>
      <c r="G681" s="2"/>
      <c r="H681" s="48"/>
    </row>
    <row r="682" spans="1:8" ht="13.8">
      <c r="A682" s="29"/>
      <c r="B682" s="62"/>
      <c r="C682" s="61"/>
      <c r="D682" s="5"/>
      <c r="E682" s="5"/>
      <c r="F682" s="5"/>
      <c r="G682" s="2"/>
      <c r="H682" s="48"/>
    </row>
    <row r="683" spans="1:8" ht="13.8">
      <c r="A683" s="29"/>
      <c r="B683" s="62"/>
      <c r="C683" s="61"/>
      <c r="D683" s="5"/>
      <c r="E683" s="5"/>
      <c r="F683" s="5"/>
      <c r="G683" s="2"/>
      <c r="H683" s="48"/>
    </row>
    <row r="684" spans="1:8" ht="13.8">
      <c r="A684" s="29"/>
      <c r="B684" s="62"/>
      <c r="C684" s="61"/>
      <c r="D684" s="5"/>
      <c r="E684" s="5"/>
      <c r="F684" s="5"/>
      <c r="G684" s="2"/>
      <c r="H684" s="48"/>
    </row>
    <row r="685" spans="1:8" ht="13.8">
      <c r="A685" s="29"/>
      <c r="B685" s="62"/>
      <c r="C685" s="61"/>
      <c r="D685" s="5"/>
      <c r="E685" s="5"/>
      <c r="F685" s="5"/>
      <c r="G685" s="2"/>
      <c r="H685" s="48"/>
    </row>
    <row r="686" spans="1:8" ht="13.8">
      <c r="A686" s="29"/>
      <c r="B686" s="62"/>
      <c r="C686" s="61"/>
      <c r="D686" s="5"/>
      <c r="E686" s="5"/>
      <c r="F686" s="5"/>
      <c r="G686" s="2"/>
      <c r="H686" s="48"/>
    </row>
    <row r="687" spans="1:8" ht="13.8">
      <c r="A687" s="29"/>
      <c r="B687" s="62"/>
      <c r="C687" s="61"/>
      <c r="D687" s="5"/>
      <c r="E687" s="5"/>
      <c r="F687" s="5"/>
      <c r="G687" s="2"/>
      <c r="H687" s="48"/>
    </row>
    <row r="688" spans="1:8" ht="13.8">
      <c r="A688" s="29"/>
      <c r="B688" s="62"/>
      <c r="C688" s="61"/>
      <c r="D688" s="5"/>
      <c r="E688" s="5"/>
      <c r="F688" s="5"/>
      <c r="G688" s="2"/>
      <c r="H688" s="48"/>
    </row>
    <row r="689" spans="1:8" ht="13.8">
      <c r="A689" s="29"/>
      <c r="B689" s="62"/>
      <c r="C689" s="61"/>
      <c r="D689" s="5"/>
      <c r="E689" s="5"/>
      <c r="F689" s="5"/>
      <c r="G689" s="2"/>
      <c r="H689" s="48"/>
    </row>
    <row r="690" spans="1:8" ht="13.8">
      <c r="A690" s="29"/>
      <c r="B690" s="62"/>
      <c r="C690" s="61"/>
      <c r="D690" s="5"/>
      <c r="E690" s="5"/>
      <c r="F690" s="5"/>
      <c r="G690" s="2"/>
      <c r="H690" s="48"/>
    </row>
    <row r="691" spans="1:8" ht="13.8">
      <c r="A691" s="29"/>
      <c r="B691" s="62"/>
      <c r="C691" s="61"/>
      <c r="D691" s="5"/>
      <c r="E691" s="5"/>
      <c r="F691" s="5"/>
      <c r="G691" s="2"/>
      <c r="H691" s="48"/>
    </row>
    <row r="692" spans="1:8" ht="13.8">
      <c r="A692" s="29"/>
      <c r="B692" s="62"/>
      <c r="C692" s="61"/>
      <c r="D692" s="5"/>
      <c r="E692" s="5"/>
      <c r="F692" s="5"/>
      <c r="G692" s="2"/>
      <c r="H692" s="48"/>
    </row>
    <row r="693" spans="1:8" ht="13.8">
      <c r="A693" s="29"/>
      <c r="B693" s="62"/>
      <c r="C693" s="61"/>
      <c r="D693" s="5"/>
      <c r="E693" s="5"/>
      <c r="F693" s="5"/>
      <c r="G693" s="2"/>
      <c r="H693" s="48"/>
    </row>
    <row r="694" spans="1:8" ht="13.8">
      <c r="A694" s="29"/>
      <c r="B694" s="62"/>
      <c r="C694" s="61"/>
      <c r="D694" s="5"/>
      <c r="E694" s="5"/>
      <c r="F694" s="5"/>
      <c r="G694" s="2"/>
      <c r="H694" s="48"/>
    </row>
    <row r="695" spans="1:8" ht="13.8">
      <c r="A695" s="29"/>
      <c r="B695" s="62"/>
      <c r="C695" s="61"/>
      <c r="D695" s="5"/>
      <c r="E695" s="5"/>
      <c r="F695" s="5"/>
      <c r="G695" s="2"/>
      <c r="H695" s="48"/>
    </row>
    <row r="696" spans="1:8" ht="13.8">
      <c r="A696" s="29"/>
      <c r="B696" s="62"/>
      <c r="C696" s="61"/>
      <c r="D696" s="5"/>
      <c r="E696" s="5"/>
      <c r="F696" s="5"/>
      <c r="G696" s="2"/>
      <c r="H696" s="48"/>
    </row>
    <row r="697" spans="1:8" ht="13.8">
      <c r="A697" s="29"/>
      <c r="B697" s="62"/>
      <c r="C697" s="61"/>
      <c r="D697" s="5"/>
      <c r="E697" s="5"/>
      <c r="F697" s="5"/>
      <c r="G697" s="2"/>
      <c r="H697" s="48"/>
    </row>
    <row r="698" spans="1:8" ht="13.8">
      <c r="A698" s="29"/>
      <c r="B698" s="62"/>
      <c r="C698" s="61"/>
      <c r="D698" s="5"/>
      <c r="E698" s="5"/>
      <c r="F698" s="5"/>
      <c r="G698" s="2"/>
      <c r="H698" s="48"/>
    </row>
    <row r="699" spans="1:8" ht="13.8">
      <c r="A699" s="29"/>
      <c r="B699" s="62"/>
      <c r="C699" s="61"/>
      <c r="D699" s="5"/>
      <c r="E699" s="5"/>
      <c r="F699" s="5"/>
      <c r="G699" s="2"/>
      <c r="H699" s="48"/>
    </row>
    <row r="700" spans="1:8" ht="13.8">
      <c r="A700" s="29"/>
      <c r="B700" s="62"/>
      <c r="C700" s="61"/>
      <c r="D700" s="5"/>
      <c r="E700" s="5"/>
      <c r="F700" s="5"/>
      <c r="G700" s="2"/>
      <c r="H700" s="48"/>
    </row>
    <row r="701" spans="1:8" ht="13.8">
      <c r="A701" s="29"/>
      <c r="B701" s="62"/>
      <c r="C701" s="61"/>
      <c r="D701" s="5"/>
      <c r="E701" s="5"/>
      <c r="F701" s="5"/>
      <c r="G701" s="2"/>
      <c r="H701" s="48"/>
    </row>
    <row r="702" spans="1:8" ht="13.8">
      <c r="A702" s="29"/>
      <c r="B702" s="62"/>
      <c r="C702" s="61"/>
      <c r="D702" s="5"/>
      <c r="E702" s="5"/>
      <c r="F702" s="5"/>
      <c r="G702" s="2"/>
      <c r="H702" s="48"/>
    </row>
    <row r="703" spans="1:8" ht="13.8">
      <c r="A703" s="29"/>
      <c r="B703" s="62"/>
      <c r="C703" s="61"/>
      <c r="D703" s="5"/>
      <c r="E703" s="5"/>
      <c r="F703" s="5"/>
      <c r="G703" s="2"/>
      <c r="H703" s="48"/>
    </row>
    <row r="704" spans="1:8" ht="13.8">
      <c r="A704" s="29"/>
      <c r="B704" s="62"/>
      <c r="C704" s="61"/>
      <c r="D704" s="5"/>
      <c r="E704" s="5"/>
      <c r="F704" s="5"/>
      <c r="G704" s="2"/>
      <c r="H704" s="48"/>
    </row>
    <row r="705" spans="1:8" ht="13.8">
      <c r="A705" s="29"/>
      <c r="B705" s="62"/>
      <c r="C705" s="61"/>
      <c r="D705" s="5"/>
      <c r="E705" s="5"/>
      <c r="F705" s="5"/>
      <c r="G705" s="2"/>
      <c r="H705" s="48"/>
    </row>
    <row r="706" spans="1:8" ht="13.8">
      <c r="A706" s="29"/>
      <c r="B706" s="62"/>
      <c r="C706" s="61"/>
      <c r="D706" s="5"/>
      <c r="E706" s="5"/>
      <c r="F706" s="5"/>
      <c r="G706" s="2"/>
      <c r="H706" s="48"/>
    </row>
    <row r="707" spans="1:8" ht="13.8">
      <c r="A707" s="29"/>
      <c r="B707" s="62"/>
      <c r="C707" s="61"/>
      <c r="D707" s="5"/>
      <c r="E707" s="5"/>
      <c r="F707" s="5"/>
      <c r="G707" s="2"/>
      <c r="H707" s="48"/>
    </row>
    <row r="708" spans="1:8" ht="13.8">
      <c r="A708" s="29"/>
      <c r="B708" s="62"/>
      <c r="C708" s="61"/>
      <c r="D708" s="5"/>
      <c r="E708" s="5"/>
      <c r="F708" s="5"/>
      <c r="G708" s="2"/>
      <c r="H708" s="48"/>
    </row>
    <row r="709" spans="1:8" ht="13.8">
      <c r="A709" s="29"/>
      <c r="B709" s="62"/>
      <c r="C709" s="61"/>
      <c r="D709" s="5"/>
      <c r="E709" s="5"/>
      <c r="F709" s="5"/>
      <c r="G709" s="2"/>
      <c r="H709" s="48"/>
    </row>
    <row r="710" spans="1:8" ht="13.8">
      <c r="A710" s="29"/>
      <c r="B710" s="62"/>
      <c r="C710" s="61"/>
      <c r="D710" s="5"/>
      <c r="E710" s="5"/>
      <c r="F710" s="5"/>
      <c r="G710" s="2"/>
      <c r="H710" s="48"/>
    </row>
    <row r="711" spans="1:8" ht="13.8">
      <c r="A711" s="29"/>
      <c r="B711" s="62"/>
      <c r="C711" s="61"/>
      <c r="D711" s="5"/>
      <c r="E711" s="5"/>
      <c r="F711" s="5"/>
      <c r="G711" s="2"/>
      <c r="H711" s="48"/>
    </row>
    <row r="712" spans="1:8" ht="13.8">
      <c r="A712" s="29"/>
      <c r="B712" s="62"/>
      <c r="C712" s="61"/>
      <c r="D712" s="5"/>
      <c r="E712" s="5"/>
      <c r="F712" s="5"/>
      <c r="G712" s="2"/>
      <c r="H712" s="48"/>
    </row>
    <row r="713" spans="1:8" ht="13.8">
      <c r="A713" s="29"/>
      <c r="B713" s="62"/>
      <c r="C713" s="61"/>
      <c r="D713" s="5"/>
      <c r="E713" s="5"/>
      <c r="F713" s="5"/>
      <c r="G713" s="2"/>
      <c r="H713" s="48"/>
    </row>
    <row r="714" spans="1:8" ht="13.8">
      <c r="A714" s="29"/>
      <c r="B714" s="62"/>
      <c r="C714" s="61"/>
      <c r="D714" s="5"/>
      <c r="E714" s="5"/>
      <c r="F714" s="5"/>
      <c r="G714" s="2"/>
      <c r="H714" s="48"/>
    </row>
    <row r="715" spans="1:8" ht="13.8">
      <c r="A715" s="29"/>
      <c r="B715" s="62"/>
      <c r="C715" s="61"/>
      <c r="D715" s="5"/>
      <c r="E715" s="5"/>
      <c r="F715" s="5"/>
      <c r="G715" s="2"/>
      <c r="H715" s="48"/>
    </row>
    <row r="716" spans="1:8" ht="13.8">
      <c r="A716" s="29"/>
      <c r="B716" s="62"/>
      <c r="C716" s="61"/>
      <c r="D716" s="5"/>
      <c r="E716" s="5"/>
      <c r="F716" s="5"/>
      <c r="G716" s="2"/>
      <c r="H716" s="48"/>
    </row>
    <row r="717" spans="1:8" ht="13.8">
      <c r="A717" s="29"/>
      <c r="B717" s="62"/>
      <c r="C717" s="61"/>
      <c r="D717" s="5"/>
      <c r="E717" s="5"/>
      <c r="F717" s="5"/>
      <c r="G717" s="2"/>
      <c r="H717" s="48"/>
    </row>
    <row r="718" spans="1:8" ht="13.8">
      <c r="A718" s="29"/>
      <c r="B718" s="62"/>
      <c r="C718" s="61"/>
      <c r="D718" s="5"/>
      <c r="E718" s="5"/>
      <c r="F718" s="5"/>
      <c r="G718" s="2"/>
      <c r="H718" s="48"/>
    </row>
    <row r="719" spans="1:8" ht="13.8">
      <c r="A719" s="29"/>
      <c r="B719" s="62"/>
      <c r="C719" s="61"/>
      <c r="D719" s="5"/>
      <c r="E719" s="5"/>
      <c r="F719" s="5"/>
      <c r="G719" s="2"/>
      <c r="H719" s="48"/>
    </row>
    <row r="720" spans="1:8" ht="13.8">
      <c r="A720" s="29"/>
      <c r="B720" s="62"/>
      <c r="C720" s="61"/>
      <c r="D720" s="5"/>
      <c r="E720" s="5"/>
      <c r="F720" s="5"/>
      <c r="G720" s="2"/>
      <c r="H720" s="48"/>
    </row>
    <row r="721" spans="1:8" ht="13.8">
      <c r="A721" s="29"/>
      <c r="B721" s="62"/>
      <c r="C721" s="61"/>
      <c r="D721" s="5"/>
      <c r="E721" s="5"/>
      <c r="F721" s="5"/>
      <c r="G721" s="2"/>
      <c r="H721" s="48"/>
    </row>
    <row r="722" spans="1:8" ht="13.8">
      <c r="A722" s="29"/>
      <c r="B722" s="62"/>
      <c r="C722" s="61"/>
      <c r="D722" s="5"/>
      <c r="E722" s="5"/>
      <c r="F722" s="5"/>
      <c r="G722" s="2"/>
      <c r="H722" s="48"/>
    </row>
    <row r="723" spans="1:8" ht="13.8">
      <c r="A723" s="29"/>
      <c r="B723" s="62"/>
      <c r="C723" s="61"/>
      <c r="D723" s="5"/>
      <c r="E723" s="5"/>
      <c r="F723" s="5"/>
      <c r="G723" s="2"/>
      <c r="H723" s="48"/>
    </row>
    <row r="724" spans="1:8" ht="13.8">
      <c r="A724" s="29"/>
      <c r="B724" s="62"/>
      <c r="C724" s="61"/>
      <c r="D724" s="5"/>
      <c r="E724" s="5"/>
      <c r="F724" s="5"/>
      <c r="G724" s="2"/>
      <c r="H724" s="48"/>
    </row>
    <row r="725" spans="1:8" ht="13.8">
      <c r="A725" s="29"/>
      <c r="B725" s="62"/>
      <c r="C725" s="61"/>
      <c r="D725" s="5"/>
      <c r="E725" s="5"/>
      <c r="F725" s="5"/>
      <c r="G725" s="2"/>
      <c r="H725" s="48"/>
    </row>
    <row r="726" spans="1:8" ht="13.8">
      <c r="A726" s="29"/>
      <c r="B726" s="62"/>
      <c r="C726" s="61"/>
      <c r="D726" s="5"/>
      <c r="E726" s="5"/>
      <c r="F726" s="5"/>
      <c r="G726" s="2"/>
      <c r="H726" s="48"/>
    </row>
    <row r="727" spans="1:8" ht="13.8">
      <c r="A727" s="29"/>
      <c r="B727" s="62"/>
      <c r="C727" s="61"/>
      <c r="D727" s="5"/>
      <c r="E727" s="5"/>
      <c r="F727" s="5"/>
      <c r="G727" s="2"/>
      <c r="H727" s="48"/>
    </row>
    <row r="728" spans="1:8" ht="13.8">
      <c r="A728" s="29"/>
      <c r="B728" s="62"/>
      <c r="C728" s="61"/>
      <c r="D728" s="5"/>
      <c r="E728" s="5"/>
      <c r="F728" s="5"/>
      <c r="G728" s="2"/>
      <c r="H728" s="48"/>
    </row>
    <row r="729" spans="1:8" ht="13.8">
      <c r="A729" s="29"/>
      <c r="B729" s="62"/>
      <c r="C729" s="61"/>
      <c r="D729" s="5"/>
      <c r="E729" s="5"/>
      <c r="F729" s="5"/>
      <c r="G729" s="2"/>
      <c r="H729" s="48"/>
    </row>
    <row r="730" spans="1:8" ht="13.8">
      <c r="A730" s="29"/>
      <c r="B730" s="62"/>
      <c r="C730" s="61"/>
      <c r="D730" s="5"/>
      <c r="E730" s="5"/>
      <c r="F730" s="5"/>
      <c r="G730" s="2"/>
      <c r="H730" s="48"/>
    </row>
    <row r="731" spans="1:8" ht="13.8">
      <c r="A731" s="29"/>
      <c r="B731" s="62"/>
      <c r="C731" s="61"/>
      <c r="D731" s="5"/>
      <c r="E731" s="5"/>
      <c r="F731" s="5"/>
      <c r="G731" s="2"/>
      <c r="H731" s="48"/>
    </row>
    <row r="732" spans="1:8" ht="13.8">
      <c r="A732" s="29"/>
      <c r="B732" s="62"/>
      <c r="C732" s="61"/>
      <c r="D732" s="5"/>
      <c r="E732" s="5"/>
      <c r="F732" s="5"/>
      <c r="G732" s="2"/>
      <c r="H732" s="48"/>
    </row>
    <row r="733" spans="1:8" ht="13.8">
      <c r="A733" s="29"/>
      <c r="B733" s="62"/>
      <c r="C733" s="61"/>
      <c r="D733" s="5"/>
      <c r="E733" s="5"/>
      <c r="F733" s="5"/>
      <c r="G733" s="2"/>
      <c r="H733" s="48"/>
    </row>
    <row r="734" spans="1:8" ht="13.8">
      <c r="A734" s="29"/>
      <c r="B734" s="62"/>
      <c r="C734" s="61"/>
      <c r="D734" s="5"/>
      <c r="E734" s="5"/>
      <c r="F734" s="5"/>
      <c r="G734" s="2"/>
      <c r="H734" s="48"/>
    </row>
    <row r="735" spans="1:8" ht="13.8">
      <c r="A735" s="29"/>
      <c r="B735" s="62"/>
      <c r="C735" s="61"/>
      <c r="D735" s="5"/>
      <c r="E735" s="5"/>
      <c r="F735" s="5"/>
      <c r="G735" s="2"/>
      <c r="H735" s="48"/>
    </row>
    <row r="736" spans="1:8" ht="13.8">
      <c r="A736" s="29"/>
      <c r="B736" s="62"/>
      <c r="C736" s="61"/>
      <c r="D736" s="5"/>
      <c r="E736" s="5"/>
      <c r="F736" s="5"/>
      <c r="G736" s="2"/>
      <c r="H736" s="48"/>
    </row>
    <row r="737" spans="1:8" ht="13.8">
      <c r="A737" s="29"/>
      <c r="B737" s="62"/>
      <c r="C737" s="61"/>
      <c r="D737" s="5"/>
      <c r="E737" s="5"/>
      <c r="F737" s="5"/>
      <c r="G737" s="2"/>
      <c r="H737" s="48"/>
    </row>
    <row r="738" spans="1:8" ht="13.8">
      <c r="A738" s="29"/>
      <c r="B738" s="62"/>
      <c r="C738" s="61"/>
      <c r="D738" s="5"/>
      <c r="E738" s="5"/>
      <c r="F738" s="5"/>
      <c r="G738" s="2"/>
      <c r="H738" s="48"/>
    </row>
    <row r="739" spans="1:8" ht="13.8">
      <c r="A739" s="29"/>
      <c r="B739" s="62"/>
      <c r="C739" s="61"/>
      <c r="D739" s="5"/>
      <c r="E739" s="5"/>
      <c r="F739" s="5"/>
      <c r="G739" s="2"/>
      <c r="H739" s="48"/>
    </row>
    <row r="740" spans="1:8" ht="13.8">
      <c r="A740" s="29"/>
      <c r="B740" s="62"/>
      <c r="C740" s="61"/>
      <c r="D740" s="5"/>
      <c r="E740" s="5"/>
      <c r="F740" s="5"/>
      <c r="G740" s="2"/>
      <c r="H740" s="48"/>
    </row>
    <row r="741" spans="1:8" ht="13.8">
      <c r="A741" s="29"/>
      <c r="B741" s="62"/>
      <c r="C741" s="61"/>
      <c r="D741" s="5"/>
      <c r="E741" s="5"/>
      <c r="F741" s="5"/>
      <c r="G741" s="2"/>
      <c r="H741" s="48"/>
    </row>
    <row r="742" spans="1:8" ht="13.8">
      <c r="A742" s="29"/>
      <c r="B742" s="62"/>
      <c r="C742" s="61"/>
      <c r="D742" s="5"/>
      <c r="E742" s="5"/>
      <c r="F742" s="5"/>
      <c r="G742" s="2"/>
      <c r="H742" s="48"/>
    </row>
    <row r="743" spans="1:8" ht="13.8">
      <c r="A743" s="29"/>
      <c r="B743" s="62"/>
      <c r="C743" s="61"/>
      <c r="D743" s="5"/>
      <c r="E743" s="5"/>
      <c r="F743" s="5"/>
      <c r="G743" s="2"/>
      <c r="H743" s="48"/>
    </row>
    <row r="744" spans="1:8" ht="13.8">
      <c r="A744" s="29"/>
      <c r="B744" s="62"/>
      <c r="C744" s="61"/>
      <c r="D744" s="5"/>
      <c r="E744" s="5"/>
      <c r="F744" s="5"/>
      <c r="G744" s="2"/>
      <c r="H744" s="48"/>
    </row>
    <row r="745" spans="1:8" ht="13.8">
      <c r="A745" s="29"/>
      <c r="B745" s="62"/>
      <c r="C745" s="61"/>
      <c r="D745" s="5"/>
      <c r="E745" s="5"/>
      <c r="F745" s="5"/>
      <c r="G745" s="2"/>
      <c r="H745" s="48"/>
    </row>
    <row r="746" spans="1:8" ht="13.8">
      <c r="A746" s="29"/>
      <c r="B746" s="62"/>
      <c r="C746" s="61"/>
      <c r="D746" s="5"/>
      <c r="E746" s="5"/>
      <c r="F746" s="5"/>
      <c r="G746" s="2"/>
      <c r="H746" s="48"/>
    </row>
    <row r="747" spans="1:8" ht="13.8">
      <c r="A747" s="29"/>
      <c r="B747" s="62"/>
      <c r="C747" s="61"/>
      <c r="D747" s="5"/>
      <c r="E747" s="5"/>
      <c r="F747" s="5"/>
      <c r="G747" s="2"/>
      <c r="H747" s="48"/>
    </row>
    <row r="748" spans="1:8" ht="13.8">
      <c r="A748" s="29"/>
      <c r="B748" s="62"/>
      <c r="C748" s="61"/>
      <c r="D748" s="5"/>
      <c r="E748" s="5"/>
      <c r="F748" s="5"/>
      <c r="G748" s="2"/>
      <c r="H748" s="48"/>
    </row>
    <row r="749" spans="1:8" ht="13.8">
      <c r="A749" s="29"/>
      <c r="B749" s="62"/>
      <c r="C749" s="61"/>
      <c r="D749" s="5"/>
      <c r="E749" s="5"/>
      <c r="F749" s="5"/>
      <c r="G749" s="2"/>
      <c r="H749" s="48"/>
    </row>
    <row r="750" spans="1:8" ht="13.8">
      <c r="A750" s="29"/>
      <c r="B750" s="62"/>
      <c r="C750" s="61"/>
      <c r="D750" s="5"/>
      <c r="E750" s="5"/>
      <c r="F750" s="5"/>
      <c r="G750" s="2"/>
      <c r="H750" s="48"/>
    </row>
    <row r="751" spans="1:8" ht="13.8">
      <c r="A751" s="29"/>
      <c r="B751" s="62"/>
      <c r="C751" s="61"/>
      <c r="D751" s="5"/>
      <c r="E751" s="5"/>
      <c r="F751" s="5"/>
      <c r="G751" s="2"/>
      <c r="H751" s="48"/>
    </row>
    <row r="752" spans="1:8" ht="13.8">
      <c r="A752" s="29"/>
      <c r="B752" s="62"/>
      <c r="C752" s="61"/>
      <c r="D752" s="5"/>
      <c r="E752" s="5"/>
      <c r="F752" s="5"/>
      <c r="G752" s="2"/>
      <c r="H752" s="48"/>
    </row>
    <row r="753" spans="1:8" ht="13.8">
      <c r="A753" s="29"/>
      <c r="B753" s="62"/>
      <c r="C753" s="61"/>
      <c r="D753" s="5"/>
      <c r="E753" s="5"/>
      <c r="F753" s="5"/>
      <c r="G753" s="2"/>
      <c r="H753" s="48"/>
    </row>
    <row r="754" spans="1:8" ht="13.8">
      <c r="A754" s="29"/>
      <c r="B754" s="62"/>
      <c r="C754" s="61"/>
      <c r="D754" s="5"/>
      <c r="E754" s="5"/>
      <c r="F754" s="5"/>
      <c r="G754" s="2"/>
      <c r="H754" s="48"/>
    </row>
    <row r="755" spans="1:8" ht="13.8">
      <c r="A755" s="29"/>
      <c r="B755" s="62"/>
      <c r="C755" s="61"/>
      <c r="D755" s="5"/>
      <c r="E755" s="5"/>
      <c r="F755" s="5"/>
      <c r="G755" s="2"/>
      <c r="H755" s="48"/>
    </row>
    <row r="756" spans="1:8" ht="13.8">
      <c r="A756" s="29"/>
      <c r="B756" s="62"/>
      <c r="C756" s="61"/>
      <c r="D756" s="5"/>
      <c r="E756" s="5"/>
      <c r="F756" s="5"/>
      <c r="G756" s="2"/>
      <c r="H756" s="48"/>
    </row>
    <row r="757" spans="1:8" ht="13.8">
      <c r="A757" s="29"/>
      <c r="B757" s="62"/>
      <c r="C757" s="61"/>
      <c r="D757" s="5"/>
      <c r="E757" s="5"/>
      <c r="F757" s="5"/>
      <c r="G757" s="2"/>
      <c r="H757" s="48"/>
    </row>
    <row r="758" spans="1:8" ht="13.8">
      <c r="A758" s="29"/>
      <c r="B758" s="62"/>
      <c r="C758" s="61"/>
      <c r="D758" s="5"/>
      <c r="E758" s="5"/>
      <c r="F758" s="5"/>
      <c r="G758" s="2"/>
      <c r="H758" s="48"/>
    </row>
    <row r="759" spans="1:8" ht="13.8">
      <c r="A759" s="29"/>
      <c r="B759" s="62"/>
      <c r="C759" s="61"/>
      <c r="D759" s="5"/>
      <c r="E759" s="5"/>
      <c r="F759" s="5"/>
      <c r="G759" s="2"/>
      <c r="H759" s="48"/>
    </row>
    <row r="760" spans="1:8" ht="13.8">
      <c r="A760" s="29"/>
      <c r="B760" s="62"/>
      <c r="C760" s="61"/>
      <c r="D760" s="5"/>
      <c r="E760" s="5"/>
      <c r="F760" s="5"/>
      <c r="G760" s="2"/>
      <c r="H760" s="48"/>
    </row>
    <row r="761" spans="1:8" ht="13.8">
      <c r="A761" s="29"/>
      <c r="B761" s="62"/>
      <c r="C761" s="61"/>
      <c r="D761" s="5"/>
      <c r="E761" s="5"/>
      <c r="F761" s="5"/>
      <c r="G761" s="2"/>
      <c r="H761" s="48"/>
    </row>
    <row r="762" spans="1:8" ht="13.8">
      <c r="A762" s="29"/>
      <c r="B762" s="62"/>
      <c r="C762" s="61"/>
      <c r="D762" s="5"/>
      <c r="E762" s="5"/>
      <c r="F762" s="5"/>
      <c r="G762" s="2"/>
      <c r="H762" s="48"/>
    </row>
    <row r="763" spans="1:8" ht="13.8">
      <c r="A763" s="29"/>
      <c r="B763" s="62"/>
      <c r="C763" s="61"/>
      <c r="D763" s="5"/>
      <c r="E763" s="5"/>
      <c r="F763" s="5"/>
      <c r="G763" s="2"/>
      <c r="H763" s="48"/>
    </row>
    <row r="764" spans="1:8" ht="13.8">
      <c r="A764" s="29"/>
      <c r="B764" s="62"/>
      <c r="C764" s="61"/>
      <c r="D764" s="5"/>
      <c r="E764" s="5"/>
      <c r="F764" s="5"/>
      <c r="G764" s="2"/>
      <c r="H764" s="48"/>
    </row>
    <row r="765" spans="1:8" ht="13.8">
      <c r="A765" s="29"/>
      <c r="B765" s="62"/>
      <c r="C765" s="61"/>
      <c r="D765" s="5"/>
      <c r="E765" s="5"/>
      <c r="F765" s="5"/>
      <c r="G765" s="2"/>
      <c r="H765" s="48"/>
    </row>
    <row r="766" spans="1:8" ht="13.8">
      <c r="A766" s="29"/>
      <c r="B766" s="62"/>
      <c r="C766" s="61"/>
      <c r="D766" s="5"/>
      <c r="E766" s="5"/>
      <c r="F766" s="5"/>
      <c r="G766" s="2"/>
      <c r="H766" s="48"/>
    </row>
    <row r="767" spans="1:8" ht="13.8">
      <c r="A767" s="29"/>
      <c r="B767" s="62"/>
      <c r="C767" s="61"/>
      <c r="D767" s="5"/>
      <c r="E767" s="5"/>
      <c r="F767" s="5"/>
      <c r="G767" s="2"/>
      <c r="H767" s="48"/>
    </row>
    <row r="768" spans="1:8" ht="13.8">
      <c r="A768" s="29"/>
      <c r="B768" s="62"/>
      <c r="C768" s="61"/>
      <c r="D768" s="5"/>
      <c r="E768" s="5"/>
      <c r="F768" s="5"/>
      <c r="G768" s="2"/>
      <c r="H768" s="48"/>
    </row>
    <row r="769" spans="1:8" ht="13.8">
      <c r="A769" s="29"/>
      <c r="B769" s="62"/>
      <c r="C769" s="61"/>
      <c r="D769" s="5"/>
      <c r="E769" s="5"/>
      <c r="F769" s="5"/>
      <c r="G769" s="2"/>
      <c r="H769" s="48"/>
    </row>
    <row r="770" spans="1:8" ht="13.8">
      <c r="A770" s="29"/>
      <c r="B770" s="62"/>
      <c r="C770" s="61"/>
      <c r="D770" s="5"/>
      <c r="E770" s="5"/>
      <c r="F770" s="5"/>
      <c r="G770" s="2"/>
      <c r="H770" s="48"/>
    </row>
    <row r="771" spans="1:8" ht="13.8">
      <c r="A771" s="29"/>
      <c r="B771" s="62"/>
      <c r="C771" s="61"/>
      <c r="D771" s="5"/>
      <c r="E771" s="5"/>
      <c r="F771" s="5"/>
      <c r="G771" s="2"/>
      <c r="H771" s="48"/>
    </row>
    <row r="772" spans="1:8" ht="13.8">
      <c r="A772" s="29"/>
      <c r="B772" s="62"/>
      <c r="C772" s="61"/>
      <c r="D772" s="5"/>
      <c r="E772" s="5"/>
      <c r="F772" s="5"/>
      <c r="G772" s="2"/>
      <c r="H772" s="48"/>
    </row>
    <row r="773" spans="1:8" ht="13.8">
      <c r="A773" s="29"/>
      <c r="B773" s="62"/>
      <c r="C773" s="61"/>
      <c r="D773" s="5"/>
      <c r="E773" s="5"/>
      <c r="F773" s="5"/>
      <c r="G773" s="2"/>
      <c r="H773" s="48"/>
    </row>
    <row r="774" spans="1:8" ht="13.8">
      <c r="A774" s="29"/>
      <c r="B774" s="62"/>
      <c r="C774" s="61"/>
      <c r="D774" s="5"/>
      <c r="E774" s="5"/>
      <c r="F774" s="5"/>
      <c r="G774" s="2"/>
      <c r="H774" s="48"/>
    </row>
    <row r="775" spans="1:8" ht="13.8">
      <c r="A775" s="29"/>
      <c r="B775" s="62"/>
      <c r="C775" s="61"/>
      <c r="D775" s="5"/>
      <c r="E775" s="5"/>
      <c r="F775" s="5"/>
      <c r="G775" s="2"/>
      <c r="H775" s="48"/>
    </row>
    <row r="776" spans="1:8" ht="13.8">
      <c r="A776" s="29"/>
      <c r="B776" s="62"/>
      <c r="C776" s="61"/>
      <c r="D776" s="5"/>
      <c r="E776" s="5"/>
      <c r="F776" s="5"/>
      <c r="G776" s="2"/>
      <c r="H776" s="48"/>
    </row>
    <row r="777" spans="1:8" ht="13.8">
      <c r="A777" s="29"/>
      <c r="B777" s="62"/>
      <c r="C777" s="61"/>
      <c r="D777" s="5"/>
      <c r="E777" s="5"/>
      <c r="F777" s="5"/>
      <c r="G777" s="2"/>
      <c r="H777" s="48"/>
    </row>
    <row r="778" spans="1:8" ht="13.8">
      <c r="A778" s="29"/>
      <c r="B778" s="62"/>
      <c r="C778" s="61"/>
      <c r="D778" s="5"/>
      <c r="E778" s="5"/>
      <c r="F778" s="5"/>
      <c r="G778" s="2"/>
      <c r="H778" s="48"/>
    </row>
    <row r="779" spans="1:8" ht="13.8">
      <c r="A779" s="29"/>
      <c r="B779" s="62"/>
      <c r="C779" s="61"/>
      <c r="D779" s="5"/>
      <c r="E779" s="5"/>
      <c r="F779" s="5"/>
      <c r="G779" s="2"/>
      <c r="H779" s="48"/>
    </row>
    <row r="780" spans="1:8" ht="13.8">
      <c r="A780" s="29"/>
      <c r="B780" s="62"/>
      <c r="C780" s="61"/>
      <c r="D780" s="5"/>
      <c r="E780" s="5"/>
      <c r="F780" s="5"/>
      <c r="G780" s="2"/>
      <c r="H780" s="48"/>
    </row>
    <row r="781" spans="1:8" ht="13.8">
      <c r="A781" s="29"/>
      <c r="B781" s="62"/>
      <c r="C781" s="61"/>
      <c r="D781" s="5"/>
      <c r="E781" s="5"/>
      <c r="F781" s="5"/>
      <c r="G781" s="2"/>
      <c r="H781" s="48"/>
    </row>
    <row r="782" spans="1:8" ht="13.8">
      <c r="A782" s="29"/>
      <c r="B782" s="62"/>
      <c r="C782" s="61"/>
      <c r="D782" s="5"/>
      <c r="E782" s="5"/>
      <c r="F782" s="5"/>
      <c r="G782" s="2"/>
      <c r="H782" s="48"/>
    </row>
    <row r="783" spans="1:8" ht="13.8">
      <c r="A783" s="29"/>
      <c r="B783" s="62"/>
      <c r="C783" s="61"/>
      <c r="D783" s="5"/>
      <c r="E783" s="5"/>
      <c r="F783" s="5"/>
      <c r="G783" s="2"/>
      <c r="H783" s="48"/>
    </row>
    <row r="784" spans="1:8" ht="13.8">
      <c r="A784" s="29"/>
      <c r="B784" s="62"/>
      <c r="C784" s="61"/>
      <c r="D784" s="5"/>
      <c r="E784" s="5"/>
      <c r="F784" s="5"/>
      <c r="G784" s="2"/>
      <c r="H784" s="48"/>
    </row>
    <row r="785" spans="1:8" ht="13.8">
      <c r="A785" s="29"/>
      <c r="B785" s="62"/>
      <c r="C785" s="61"/>
      <c r="D785" s="5"/>
      <c r="E785" s="5"/>
      <c r="F785" s="5"/>
      <c r="G785" s="2"/>
      <c r="H785" s="48"/>
    </row>
    <row r="786" spans="1:8" ht="13.8">
      <c r="A786" s="29"/>
      <c r="B786" s="62"/>
      <c r="C786" s="61"/>
      <c r="D786" s="5"/>
      <c r="E786" s="5"/>
      <c r="F786" s="5"/>
      <c r="G786" s="2"/>
      <c r="H786" s="48"/>
    </row>
    <row r="787" spans="1:8" ht="13.8">
      <c r="A787" s="29"/>
      <c r="B787" s="62"/>
      <c r="C787" s="61"/>
      <c r="D787" s="5"/>
      <c r="E787" s="5"/>
      <c r="F787" s="5"/>
      <c r="G787" s="2"/>
      <c r="H787" s="48"/>
    </row>
    <row r="788" spans="1:8" ht="13.8">
      <c r="A788" s="29"/>
      <c r="B788" s="62"/>
      <c r="C788" s="61"/>
      <c r="D788" s="5"/>
      <c r="E788" s="5"/>
      <c r="F788" s="5"/>
      <c r="G788" s="2"/>
      <c r="H788" s="48"/>
    </row>
    <row r="789" spans="1:8" ht="13.8">
      <c r="A789" s="29"/>
      <c r="B789" s="62"/>
      <c r="C789" s="61"/>
      <c r="D789" s="5"/>
      <c r="E789" s="5"/>
      <c r="F789" s="5"/>
      <c r="G789" s="2"/>
      <c r="H789" s="48"/>
    </row>
    <row r="790" spans="1:8" ht="13.8">
      <c r="A790" s="29"/>
      <c r="B790" s="62"/>
      <c r="C790" s="61"/>
      <c r="D790" s="5"/>
      <c r="E790" s="5"/>
      <c r="F790" s="5"/>
      <c r="G790" s="2"/>
      <c r="H790" s="48"/>
    </row>
    <row r="791" spans="1:8" ht="13.8">
      <c r="A791" s="29"/>
      <c r="B791" s="62"/>
      <c r="C791" s="61"/>
      <c r="D791" s="5"/>
      <c r="E791" s="5"/>
      <c r="F791" s="5"/>
      <c r="G791" s="2"/>
      <c r="H791" s="48"/>
    </row>
    <row r="792" spans="1:8" ht="13.8">
      <c r="A792" s="29"/>
      <c r="B792" s="62"/>
      <c r="C792" s="61"/>
      <c r="D792" s="5"/>
      <c r="E792" s="5"/>
      <c r="F792" s="5"/>
      <c r="G792" s="2"/>
      <c r="H792" s="48"/>
    </row>
    <row r="793" spans="1:8" ht="13.8">
      <c r="A793" s="29"/>
      <c r="B793" s="62"/>
      <c r="C793" s="61"/>
      <c r="D793" s="5"/>
      <c r="E793" s="5"/>
      <c r="F793" s="5"/>
      <c r="G793" s="2"/>
      <c r="H793" s="48"/>
    </row>
    <row r="794" spans="1:8" ht="13.8">
      <c r="A794" s="29"/>
      <c r="B794" s="62"/>
      <c r="C794" s="61"/>
      <c r="D794" s="5"/>
      <c r="E794" s="5"/>
      <c r="F794" s="5"/>
      <c r="G794" s="2"/>
      <c r="H794" s="48"/>
    </row>
    <row r="795" spans="1:8" ht="13.8">
      <c r="A795" s="29"/>
      <c r="B795" s="62"/>
      <c r="C795" s="61"/>
      <c r="D795" s="5"/>
      <c r="E795" s="5"/>
      <c r="F795" s="5"/>
      <c r="G795" s="2"/>
      <c r="H795" s="48"/>
    </row>
    <row r="796" spans="1:8" ht="13.8">
      <c r="A796" s="29"/>
      <c r="B796" s="62"/>
      <c r="C796" s="61"/>
      <c r="D796" s="5"/>
      <c r="E796" s="5"/>
      <c r="F796" s="5"/>
      <c r="G796" s="2"/>
      <c r="H796" s="48"/>
    </row>
    <row r="797" spans="1:8" ht="13.8">
      <c r="A797" s="29"/>
      <c r="B797" s="62"/>
      <c r="C797" s="61"/>
      <c r="D797" s="5"/>
      <c r="E797" s="5"/>
      <c r="F797" s="5"/>
      <c r="G797" s="2"/>
      <c r="H797" s="48"/>
    </row>
    <row r="798" spans="1:8" ht="13.8">
      <c r="A798" s="29"/>
      <c r="B798" s="62"/>
      <c r="C798" s="61"/>
      <c r="D798" s="5"/>
      <c r="E798" s="5"/>
      <c r="F798" s="5"/>
      <c r="G798" s="2"/>
      <c r="H798" s="48"/>
    </row>
    <row r="799" spans="1:8" ht="13.8">
      <c r="A799" s="29"/>
      <c r="B799" s="62"/>
      <c r="C799" s="61"/>
      <c r="D799" s="5"/>
      <c r="E799" s="5"/>
      <c r="F799" s="5"/>
      <c r="G799" s="2"/>
      <c r="H799" s="48"/>
    </row>
    <row r="800" spans="1:8" ht="13.8">
      <c r="A800" s="29"/>
      <c r="B800" s="62"/>
      <c r="C800" s="61"/>
      <c r="D800" s="5"/>
      <c r="E800" s="5"/>
      <c r="F800" s="5"/>
      <c r="G800" s="2"/>
      <c r="H800" s="48"/>
    </row>
    <row r="801" spans="1:8" ht="13.8">
      <c r="A801" s="29"/>
      <c r="B801" s="62"/>
      <c r="C801" s="61"/>
      <c r="D801" s="5"/>
      <c r="E801" s="5"/>
      <c r="F801" s="5"/>
      <c r="G801" s="2"/>
      <c r="H801" s="48"/>
    </row>
    <row r="802" spans="1:8" ht="13.8">
      <c r="A802" s="29"/>
      <c r="B802" s="62"/>
      <c r="C802" s="61"/>
      <c r="D802" s="5"/>
      <c r="E802" s="5"/>
      <c r="F802" s="5"/>
      <c r="G802" s="2"/>
      <c r="H802" s="48"/>
    </row>
    <row r="803" spans="1:8" ht="13.8">
      <c r="A803" s="29"/>
      <c r="B803" s="62"/>
      <c r="C803" s="61"/>
      <c r="D803" s="5"/>
      <c r="E803" s="5"/>
      <c r="F803" s="5"/>
      <c r="G803" s="2"/>
      <c r="H803" s="48"/>
    </row>
    <row r="804" spans="1:8" ht="13.8">
      <c r="A804" s="29"/>
      <c r="B804" s="62"/>
      <c r="C804" s="61"/>
      <c r="D804" s="5"/>
      <c r="E804" s="5"/>
      <c r="F804" s="5"/>
      <c r="G804" s="2"/>
      <c r="H804" s="48"/>
    </row>
    <row r="805" spans="1:8" ht="13.8">
      <c r="A805" s="29"/>
      <c r="B805" s="62"/>
      <c r="C805" s="61"/>
      <c r="D805" s="5"/>
      <c r="E805" s="5"/>
      <c r="F805" s="5"/>
      <c r="G805" s="2"/>
      <c r="H805" s="48"/>
    </row>
    <row r="806" spans="1:8" ht="13.8">
      <c r="A806" s="29"/>
      <c r="B806" s="62"/>
      <c r="C806" s="61"/>
      <c r="D806" s="5"/>
      <c r="E806" s="5"/>
      <c r="F806" s="5"/>
      <c r="G806" s="2"/>
      <c r="H806" s="48"/>
    </row>
    <row r="807" spans="1:8" ht="13.8">
      <c r="A807" s="29"/>
      <c r="B807" s="62"/>
      <c r="C807" s="61"/>
      <c r="D807" s="5"/>
      <c r="E807" s="5"/>
      <c r="F807" s="5"/>
      <c r="G807" s="2"/>
      <c r="H807" s="48"/>
    </row>
    <row r="808" spans="1:8" ht="13.8">
      <c r="A808" s="29"/>
      <c r="B808" s="62"/>
      <c r="C808" s="61"/>
      <c r="D808" s="5"/>
      <c r="E808" s="5"/>
      <c r="F808" s="5"/>
      <c r="G808" s="2"/>
      <c r="H808" s="48"/>
    </row>
    <row r="809" spans="1:8" ht="13.8">
      <c r="A809" s="29"/>
      <c r="B809" s="62"/>
      <c r="C809" s="61"/>
      <c r="D809" s="5"/>
      <c r="E809" s="5"/>
      <c r="F809" s="5"/>
      <c r="G809" s="2"/>
      <c r="H809" s="48"/>
    </row>
    <row r="810" spans="1:8" ht="13.8">
      <c r="A810" s="29"/>
      <c r="B810" s="62"/>
      <c r="C810" s="61"/>
      <c r="D810" s="5"/>
      <c r="E810" s="5"/>
      <c r="F810" s="5"/>
      <c r="G810" s="2"/>
      <c r="H810" s="48"/>
    </row>
    <row r="811" spans="1:8" ht="13.8">
      <c r="A811" s="29"/>
      <c r="B811" s="62"/>
      <c r="C811" s="61"/>
      <c r="D811" s="5"/>
      <c r="E811" s="5"/>
      <c r="F811" s="5"/>
      <c r="G811" s="2"/>
      <c r="H811" s="48"/>
    </row>
    <row r="812" spans="1:8" ht="13.8">
      <c r="A812" s="29"/>
      <c r="B812" s="62"/>
      <c r="C812" s="61"/>
      <c r="D812" s="5"/>
      <c r="E812" s="5"/>
      <c r="F812" s="5"/>
      <c r="G812" s="2"/>
      <c r="H812" s="48"/>
    </row>
    <row r="813" spans="1:8" ht="13.8">
      <c r="A813" s="29"/>
      <c r="B813" s="62"/>
      <c r="C813" s="61"/>
      <c r="D813" s="5"/>
      <c r="E813" s="5"/>
      <c r="F813" s="5"/>
      <c r="G813" s="2"/>
      <c r="H813" s="48"/>
    </row>
    <row r="814" spans="1:8" ht="13.8">
      <c r="A814" s="29"/>
      <c r="B814" s="62"/>
      <c r="C814" s="61"/>
      <c r="D814" s="5"/>
      <c r="E814" s="5"/>
      <c r="F814" s="5"/>
      <c r="G814" s="2"/>
      <c r="H814" s="48"/>
    </row>
    <row r="815" spans="1:8" ht="13.8">
      <c r="A815" s="29"/>
      <c r="B815" s="62"/>
      <c r="C815" s="61"/>
      <c r="D815" s="5"/>
      <c r="E815" s="5"/>
      <c r="F815" s="5"/>
      <c r="G815" s="2"/>
      <c r="H815" s="48"/>
    </row>
    <row r="816" spans="1:8" ht="13.8">
      <c r="A816" s="29"/>
      <c r="B816" s="62"/>
      <c r="C816" s="61"/>
      <c r="D816" s="5"/>
      <c r="E816" s="5"/>
      <c r="F816" s="5"/>
      <c r="G816" s="2"/>
      <c r="H816" s="48"/>
    </row>
    <row r="817" spans="1:8" ht="13.8">
      <c r="A817" s="29"/>
      <c r="B817" s="62"/>
      <c r="C817" s="61"/>
      <c r="D817" s="5"/>
      <c r="E817" s="5"/>
      <c r="F817" s="5"/>
      <c r="G817" s="2"/>
      <c r="H817" s="48"/>
    </row>
    <row r="818" spans="1:8" ht="13.8">
      <c r="A818" s="29"/>
      <c r="B818" s="62"/>
      <c r="C818" s="61"/>
      <c r="D818" s="5"/>
      <c r="E818" s="5"/>
      <c r="F818" s="5"/>
      <c r="G818" s="2"/>
      <c r="H818" s="48"/>
    </row>
    <row r="819" spans="1:8" ht="13.8">
      <c r="A819" s="29"/>
      <c r="B819" s="62"/>
      <c r="C819" s="61"/>
      <c r="D819" s="5"/>
      <c r="E819" s="5"/>
      <c r="F819" s="5"/>
      <c r="G819" s="2"/>
      <c r="H819" s="48"/>
    </row>
    <row r="820" spans="1:8" ht="13.8">
      <c r="A820" s="29"/>
      <c r="B820" s="62"/>
      <c r="C820" s="61"/>
      <c r="D820" s="5"/>
      <c r="E820" s="5"/>
      <c r="F820" s="5"/>
      <c r="G820" s="2"/>
      <c r="H820" s="48"/>
    </row>
    <row r="821" spans="1:8" ht="13.8">
      <c r="A821" s="29"/>
      <c r="B821" s="62"/>
      <c r="C821" s="61"/>
      <c r="D821" s="5"/>
      <c r="E821" s="5"/>
      <c r="F821" s="5"/>
      <c r="G821" s="2"/>
      <c r="H821" s="48"/>
    </row>
    <row r="822" spans="1:8" ht="13.8">
      <c r="A822" s="29"/>
      <c r="B822" s="62"/>
      <c r="C822" s="61"/>
      <c r="D822" s="5"/>
      <c r="E822" s="5"/>
      <c r="F822" s="5"/>
      <c r="G822" s="2"/>
      <c r="H822" s="48"/>
    </row>
    <row r="823" spans="1:8" ht="13.8">
      <c r="A823" s="29"/>
      <c r="B823" s="62"/>
      <c r="C823" s="61"/>
      <c r="D823" s="5"/>
      <c r="E823" s="5"/>
      <c r="F823" s="5"/>
      <c r="G823" s="2"/>
      <c r="H823" s="48"/>
    </row>
    <row r="824" spans="1:8" ht="13.8">
      <c r="A824" s="29"/>
      <c r="B824" s="62"/>
      <c r="C824" s="61"/>
      <c r="D824" s="5"/>
      <c r="E824" s="5"/>
      <c r="F824" s="5"/>
      <c r="G824" s="2"/>
      <c r="H824" s="48"/>
    </row>
    <row r="825" spans="1:8" ht="13.8">
      <c r="A825" s="29"/>
      <c r="B825" s="62"/>
      <c r="C825" s="61"/>
      <c r="D825" s="5"/>
      <c r="E825" s="5"/>
      <c r="F825" s="5"/>
      <c r="G825" s="2"/>
      <c r="H825" s="48"/>
    </row>
    <row r="826" spans="1:8" ht="13.8">
      <c r="A826" s="29"/>
      <c r="B826" s="62"/>
      <c r="C826" s="61"/>
      <c r="D826" s="5"/>
      <c r="E826" s="5"/>
      <c r="F826" s="5"/>
      <c r="G826" s="2"/>
      <c r="H826" s="48"/>
    </row>
    <row r="827" spans="1:8" ht="13.8">
      <c r="A827" s="29"/>
      <c r="B827" s="62"/>
      <c r="C827" s="61"/>
      <c r="D827" s="5"/>
      <c r="E827" s="5"/>
      <c r="F827" s="5"/>
      <c r="G827" s="2"/>
      <c r="H827" s="48"/>
    </row>
    <row r="828" spans="1:8" ht="13.8">
      <c r="A828" s="29"/>
      <c r="B828" s="62"/>
      <c r="C828" s="61"/>
      <c r="D828" s="5"/>
      <c r="E828" s="5"/>
      <c r="F828" s="5"/>
      <c r="G828" s="2"/>
      <c r="H828" s="48"/>
    </row>
    <row r="829" spans="1:8" ht="13.8">
      <c r="A829" s="29"/>
      <c r="B829" s="62"/>
      <c r="C829" s="61"/>
      <c r="D829" s="5"/>
      <c r="E829" s="5"/>
      <c r="F829" s="5"/>
      <c r="G829" s="2"/>
      <c r="H829" s="48"/>
    </row>
    <row r="830" spans="1:8" ht="13.8">
      <c r="A830" s="29"/>
      <c r="B830" s="62"/>
      <c r="C830" s="61"/>
      <c r="D830" s="5"/>
      <c r="E830" s="5"/>
      <c r="F830" s="5"/>
      <c r="G830" s="2"/>
      <c r="H830" s="48"/>
    </row>
    <row r="831" spans="1:8" ht="13.8">
      <c r="A831" s="29"/>
      <c r="B831" s="62"/>
      <c r="C831" s="61"/>
      <c r="D831" s="5"/>
      <c r="E831" s="5"/>
      <c r="F831" s="5"/>
      <c r="G831" s="2"/>
      <c r="H831" s="48"/>
    </row>
    <row r="832" spans="1:8" ht="13.8">
      <c r="A832" s="29"/>
      <c r="B832" s="62"/>
      <c r="C832" s="61"/>
      <c r="D832" s="5"/>
      <c r="E832" s="5"/>
      <c r="F832" s="5"/>
      <c r="G832" s="2"/>
      <c r="H832" s="48"/>
    </row>
    <row r="833" spans="1:8" ht="13.8">
      <c r="A833" s="29"/>
      <c r="B833" s="62"/>
      <c r="C833" s="61"/>
      <c r="D833" s="5"/>
      <c r="E833" s="5"/>
      <c r="F833" s="5"/>
      <c r="G833" s="2"/>
      <c r="H833" s="48"/>
    </row>
    <row r="834" spans="1:8" ht="13.8">
      <c r="A834" s="29"/>
      <c r="B834" s="62"/>
      <c r="C834" s="61"/>
      <c r="D834" s="5"/>
      <c r="E834" s="5"/>
      <c r="F834" s="5"/>
      <c r="G834" s="2"/>
      <c r="H834" s="48"/>
    </row>
    <row r="835" spans="1:8" ht="13.8">
      <c r="A835" s="29"/>
      <c r="B835" s="62"/>
      <c r="C835" s="61"/>
      <c r="D835" s="5"/>
      <c r="E835" s="5"/>
      <c r="F835" s="5"/>
      <c r="G835" s="2"/>
      <c r="H835" s="48"/>
    </row>
    <row r="836" spans="1:8" ht="13.8">
      <c r="A836" s="29"/>
      <c r="B836" s="62"/>
      <c r="C836" s="61"/>
      <c r="D836" s="5"/>
      <c r="E836" s="5"/>
      <c r="F836" s="5"/>
      <c r="G836" s="2"/>
      <c r="H836" s="48"/>
    </row>
    <row r="837" spans="1:8" ht="13.8">
      <c r="A837" s="29"/>
      <c r="B837" s="62"/>
      <c r="C837" s="61"/>
      <c r="D837" s="5"/>
      <c r="E837" s="5"/>
      <c r="F837" s="5"/>
      <c r="G837" s="2"/>
      <c r="H837" s="48"/>
    </row>
    <row r="838" spans="1:8" ht="13.8">
      <c r="A838" s="29"/>
      <c r="B838" s="62"/>
      <c r="C838" s="61"/>
      <c r="D838" s="5"/>
      <c r="E838" s="5"/>
      <c r="F838" s="5"/>
      <c r="G838" s="2"/>
      <c r="H838" s="48"/>
    </row>
    <row r="839" spans="1:8" ht="13.8">
      <c r="A839" s="29"/>
      <c r="B839" s="62"/>
      <c r="C839" s="61"/>
      <c r="D839" s="5"/>
      <c r="E839" s="5"/>
      <c r="F839" s="5"/>
      <c r="G839" s="2"/>
      <c r="H839" s="48"/>
    </row>
    <row r="840" spans="1:8" ht="13.8">
      <c r="A840" s="29"/>
      <c r="B840" s="62"/>
      <c r="C840" s="61"/>
      <c r="D840" s="5"/>
      <c r="E840" s="5"/>
      <c r="F840" s="5"/>
      <c r="G840" s="2"/>
      <c r="H840" s="48"/>
    </row>
    <row r="841" spans="1:8" ht="13.8">
      <c r="A841" s="29"/>
      <c r="B841" s="62"/>
      <c r="C841" s="61"/>
      <c r="D841" s="5"/>
      <c r="E841" s="5"/>
      <c r="F841" s="5"/>
      <c r="G841" s="2"/>
      <c r="H841" s="48"/>
    </row>
    <row r="842" spans="1:8" ht="13.8">
      <c r="A842" s="29"/>
      <c r="B842" s="62"/>
      <c r="C842" s="61"/>
      <c r="D842" s="5"/>
      <c r="E842" s="5"/>
      <c r="F842" s="5"/>
      <c r="G842" s="2"/>
      <c r="H842" s="48"/>
    </row>
    <row r="843" spans="1:8" ht="13.8">
      <c r="A843" s="29"/>
      <c r="B843" s="62"/>
      <c r="C843" s="61"/>
      <c r="D843" s="5"/>
      <c r="E843" s="5"/>
      <c r="F843" s="5"/>
      <c r="G843" s="2"/>
      <c r="H843" s="48"/>
    </row>
    <row r="844" spans="1:8" ht="13.8">
      <c r="A844" s="29"/>
      <c r="B844" s="62"/>
      <c r="C844" s="61"/>
      <c r="D844" s="5"/>
      <c r="E844" s="5"/>
      <c r="F844" s="5"/>
      <c r="G844" s="2"/>
      <c r="H844" s="48"/>
    </row>
    <row r="845" spans="1:8" ht="13.8">
      <c r="A845" s="29"/>
      <c r="B845" s="62"/>
      <c r="C845" s="61"/>
      <c r="D845" s="5"/>
      <c r="E845" s="5"/>
      <c r="F845" s="5"/>
      <c r="G845" s="2"/>
      <c r="H845" s="48"/>
    </row>
    <row r="846" spans="1:8" ht="13.8">
      <c r="A846" s="29"/>
      <c r="B846" s="62"/>
      <c r="C846" s="61"/>
      <c r="D846" s="5"/>
      <c r="E846" s="5"/>
      <c r="F846" s="5"/>
      <c r="G846" s="2"/>
      <c r="H846" s="48"/>
    </row>
    <row r="847" spans="1:8" ht="13.8">
      <c r="A847" s="29"/>
      <c r="B847" s="62"/>
      <c r="C847" s="61"/>
      <c r="D847" s="5"/>
      <c r="E847" s="5"/>
      <c r="F847" s="5"/>
      <c r="G847" s="2"/>
      <c r="H847" s="48"/>
    </row>
    <row r="848" spans="1:8" ht="13.8">
      <c r="A848" s="29"/>
      <c r="B848" s="62"/>
      <c r="C848" s="61"/>
      <c r="D848" s="5"/>
      <c r="E848" s="5"/>
      <c r="F848" s="5"/>
      <c r="G848" s="2"/>
      <c r="H848" s="48"/>
    </row>
    <row r="849" spans="1:8" ht="13.8">
      <c r="A849" s="29"/>
      <c r="B849" s="62"/>
      <c r="C849" s="61"/>
      <c r="D849" s="5"/>
      <c r="E849" s="5"/>
      <c r="F849" s="5"/>
      <c r="G849" s="2"/>
      <c r="H849" s="48"/>
    </row>
    <row r="850" spans="1:8" ht="13.8">
      <c r="A850" s="29"/>
      <c r="B850" s="62"/>
      <c r="C850" s="61"/>
      <c r="D850" s="5"/>
      <c r="E850" s="5"/>
      <c r="F850" s="5"/>
      <c r="G850" s="2"/>
      <c r="H850" s="48"/>
    </row>
    <row r="851" spans="1:8" ht="13.8">
      <c r="A851" s="29"/>
      <c r="B851" s="62"/>
      <c r="C851" s="61"/>
      <c r="D851" s="5"/>
      <c r="E851" s="5"/>
      <c r="F851" s="5"/>
      <c r="G851" s="2"/>
      <c r="H851" s="48"/>
    </row>
    <row r="852" spans="1:8" ht="13.8">
      <c r="A852" s="29"/>
      <c r="B852" s="62"/>
      <c r="C852" s="61"/>
      <c r="D852" s="5"/>
      <c r="E852" s="5"/>
      <c r="F852" s="5"/>
      <c r="G852" s="2"/>
      <c r="H852" s="48"/>
    </row>
    <row r="853" spans="1:8" ht="13.8">
      <c r="A853" s="29"/>
      <c r="B853" s="62"/>
      <c r="C853" s="61"/>
      <c r="D853" s="5"/>
      <c r="E853" s="5"/>
      <c r="F853" s="5"/>
      <c r="G853" s="2"/>
      <c r="H853" s="48"/>
    </row>
    <row r="854" spans="1:8" ht="13.8">
      <c r="A854" s="29"/>
      <c r="B854" s="62"/>
      <c r="C854" s="61"/>
      <c r="D854" s="5"/>
      <c r="E854" s="5"/>
      <c r="F854" s="5"/>
      <c r="G854" s="2"/>
      <c r="H854" s="48"/>
    </row>
    <row r="855" spans="1:8" ht="13.8">
      <c r="A855" s="29"/>
      <c r="B855" s="62"/>
      <c r="C855" s="61"/>
      <c r="D855" s="5"/>
      <c r="E855" s="5"/>
      <c r="F855" s="5"/>
      <c r="G855" s="2"/>
      <c r="H855" s="48"/>
    </row>
    <row r="856" spans="1:8" ht="13.8">
      <c r="A856" s="29"/>
      <c r="B856" s="62"/>
      <c r="C856" s="61"/>
      <c r="D856" s="5"/>
      <c r="E856" s="5"/>
      <c r="F856" s="5"/>
      <c r="G856" s="2"/>
      <c r="H856" s="48"/>
    </row>
    <row r="857" spans="1:8" ht="13.8">
      <c r="A857" s="29"/>
      <c r="B857" s="62"/>
      <c r="C857" s="61"/>
      <c r="D857" s="5"/>
      <c r="E857" s="5"/>
      <c r="F857" s="5"/>
      <c r="G857" s="2"/>
      <c r="H857" s="48"/>
    </row>
    <row r="858" spans="1:8" ht="13.8">
      <c r="A858" s="29"/>
      <c r="B858" s="62"/>
      <c r="C858" s="61"/>
      <c r="D858" s="5"/>
      <c r="E858" s="5"/>
      <c r="F858" s="5"/>
      <c r="G858" s="2"/>
      <c r="H858" s="48"/>
    </row>
    <row r="859" spans="1:8" ht="13.8">
      <c r="A859" s="29"/>
      <c r="B859" s="62"/>
      <c r="C859" s="61"/>
      <c r="D859" s="5"/>
      <c r="E859" s="5"/>
      <c r="F859" s="5"/>
      <c r="G859" s="2"/>
      <c r="H859" s="48"/>
    </row>
    <row r="860" spans="1:8" ht="13.8">
      <c r="A860" s="29"/>
      <c r="B860" s="62"/>
      <c r="C860" s="61"/>
      <c r="D860" s="5"/>
      <c r="E860" s="5"/>
      <c r="F860" s="5"/>
      <c r="G860" s="2"/>
      <c r="H860" s="48"/>
    </row>
    <row r="861" spans="1:8" ht="13.8">
      <c r="A861" s="29"/>
      <c r="B861" s="62"/>
      <c r="C861" s="61"/>
      <c r="D861" s="5"/>
      <c r="E861" s="5"/>
      <c r="F861" s="5"/>
      <c r="G861" s="2"/>
      <c r="H861" s="48"/>
    </row>
    <row r="862" spans="1:8" ht="13.8">
      <c r="A862" s="29"/>
      <c r="B862" s="62"/>
      <c r="C862" s="61"/>
      <c r="D862" s="5"/>
      <c r="E862" s="5"/>
      <c r="F862" s="5"/>
      <c r="G862" s="2"/>
      <c r="H862" s="48"/>
    </row>
    <row r="863" spans="1:8" ht="13.8">
      <c r="A863" s="29"/>
      <c r="B863" s="62"/>
      <c r="C863" s="61"/>
      <c r="D863" s="5"/>
      <c r="E863" s="5"/>
      <c r="F863" s="5"/>
      <c r="G863" s="2"/>
      <c r="H863" s="48"/>
    </row>
    <row r="864" spans="1:8" ht="13.8">
      <c r="A864" s="29"/>
      <c r="B864" s="62"/>
      <c r="C864" s="61"/>
      <c r="D864" s="5"/>
      <c r="E864" s="5"/>
      <c r="F864" s="5"/>
      <c r="G864" s="2"/>
      <c r="H864" s="48"/>
    </row>
    <row r="865" spans="1:8" ht="13.8">
      <c r="A865" s="29"/>
      <c r="B865" s="62"/>
      <c r="C865" s="61"/>
      <c r="D865" s="5"/>
      <c r="E865" s="5"/>
      <c r="F865" s="5"/>
      <c r="G865" s="2"/>
      <c r="H865" s="48"/>
    </row>
    <row r="866" spans="1:8" ht="13.8">
      <c r="A866" s="29"/>
      <c r="B866" s="62"/>
      <c r="C866" s="61"/>
      <c r="D866" s="5"/>
      <c r="E866" s="5"/>
      <c r="F866" s="5"/>
      <c r="G866" s="2"/>
      <c r="H866" s="48"/>
    </row>
    <row r="867" spans="1:8" ht="13.8">
      <c r="A867" s="29"/>
      <c r="B867" s="62"/>
      <c r="C867" s="61"/>
      <c r="D867" s="5"/>
      <c r="E867" s="5"/>
      <c r="F867" s="5"/>
      <c r="G867" s="2"/>
      <c r="H867" s="48"/>
    </row>
    <row r="868" spans="1:8" ht="13.8">
      <c r="A868" s="29"/>
      <c r="B868" s="62"/>
      <c r="C868" s="61"/>
      <c r="D868" s="5"/>
      <c r="E868" s="5"/>
      <c r="F868" s="5"/>
      <c r="G868" s="2"/>
      <c r="H868" s="48"/>
    </row>
    <row r="869" spans="1:8" ht="13.8">
      <c r="A869" s="29"/>
      <c r="B869" s="62"/>
      <c r="C869" s="61"/>
      <c r="D869" s="5"/>
      <c r="E869" s="5"/>
      <c r="F869" s="5"/>
      <c r="G869" s="2"/>
      <c r="H869" s="48"/>
    </row>
    <row r="870" spans="1:8" ht="13.8">
      <c r="A870" s="29"/>
      <c r="B870" s="62"/>
      <c r="C870" s="61"/>
      <c r="D870" s="5"/>
      <c r="E870" s="5"/>
      <c r="F870" s="5"/>
      <c r="G870" s="2"/>
      <c r="H870" s="48"/>
    </row>
    <row r="871" spans="1:8" ht="13.8">
      <c r="A871" s="29"/>
      <c r="B871" s="62"/>
      <c r="C871" s="61"/>
      <c r="D871" s="5"/>
      <c r="E871" s="5"/>
      <c r="F871" s="5"/>
      <c r="G871" s="2"/>
      <c r="H871" s="48"/>
    </row>
    <row r="872" spans="1:8" ht="13.8">
      <c r="A872" s="29"/>
      <c r="B872" s="62"/>
      <c r="C872" s="61"/>
      <c r="D872" s="5"/>
      <c r="E872" s="5"/>
      <c r="F872" s="5"/>
      <c r="G872" s="2"/>
      <c r="H872" s="48"/>
    </row>
    <row r="873" spans="1:8" ht="13.8">
      <c r="A873" s="29"/>
      <c r="B873" s="62"/>
      <c r="C873" s="61"/>
      <c r="D873" s="5"/>
      <c r="E873" s="5"/>
      <c r="F873" s="5"/>
      <c r="G873" s="2"/>
      <c r="H873" s="48"/>
    </row>
    <row r="874" spans="1:8" ht="13.8">
      <c r="A874" s="29"/>
      <c r="B874" s="62"/>
      <c r="C874" s="61"/>
      <c r="D874" s="5"/>
      <c r="E874" s="5"/>
      <c r="F874" s="5"/>
      <c r="G874" s="2"/>
      <c r="H874" s="48"/>
    </row>
    <row r="875" spans="1:8" ht="13.8">
      <c r="A875" s="29"/>
      <c r="B875" s="62"/>
      <c r="C875" s="61"/>
      <c r="D875" s="5"/>
      <c r="E875" s="5"/>
      <c r="F875" s="5"/>
      <c r="G875" s="2"/>
      <c r="H875" s="48"/>
    </row>
    <row r="876" spans="1:8" ht="13.8">
      <c r="A876" s="29"/>
      <c r="B876" s="62"/>
      <c r="C876" s="61"/>
      <c r="D876" s="5"/>
      <c r="E876" s="5"/>
      <c r="F876" s="5"/>
      <c r="G876" s="2"/>
      <c r="H876" s="48"/>
    </row>
    <row r="877" spans="1:8" ht="13.8">
      <c r="A877" s="29"/>
      <c r="B877" s="62"/>
      <c r="C877" s="61"/>
      <c r="D877" s="5"/>
      <c r="E877" s="5"/>
      <c r="F877" s="5"/>
      <c r="G877" s="2"/>
      <c r="H877" s="48"/>
    </row>
    <row r="878" spans="1:8" ht="13.8">
      <c r="A878" s="29"/>
      <c r="B878" s="62"/>
      <c r="C878" s="61"/>
      <c r="D878" s="5"/>
      <c r="E878" s="5"/>
      <c r="F878" s="5"/>
      <c r="G878" s="2"/>
      <c r="H878" s="48"/>
    </row>
    <row r="879" spans="1:8" ht="13.8">
      <c r="A879" s="29"/>
      <c r="B879" s="62"/>
      <c r="C879" s="61"/>
      <c r="D879" s="5"/>
      <c r="E879" s="5"/>
      <c r="F879" s="5"/>
      <c r="G879" s="2"/>
      <c r="H879" s="48"/>
    </row>
    <row r="880" spans="1:8" ht="13.8">
      <c r="A880" s="29"/>
      <c r="B880" s="62"/>
      <c r="C880" s="61"/>
      <c r="D880" s="5"/>
      <c r="E880" s="5"/>
      <c r="F880" s="5"/>
      <c r="G880" s="2"/>
      <c r="H880" s="48"/>
    </row>
    <row r="881" spans="1:8" ht="13.8">
      <c r="A881" s="29"/>
      <c r="B881" s="62"/>
      <c r="C881" s="61"/>
      <c r="D881" s="5"/>
      <c r="E881" s="5"/>
      <c r="F881" s="5"/>
      <c r="G881" s="2"/>
      <c r="H881" s="48"/>
    </row>
    <row r="882" spans="1:8" ht="13.8">
      <c r="A882" s="29"/>
      <c r="B882" s="62"/>
      <c r="C882" s="61"/>
      <c r="D882" s="5"/>
      <c r="E882" s="5"/>
      <c r="F882" s="5"/>
      <c r="G882" s="2"/>
      <c r="H882" s="48"/>
    </row>
    <row r="883" spans="1:8" ht="13.8">
      <c r="A883" s="29"/>
      <c r="B883" s="62"/>
      <c r="C883" s="61"/>
      <c r="D883" s="5"/>
      <c r="E883" s="5"/>
      <c r="F883" s="5"/>
      <c r="G883" s="2"/>
      <c r="H883" s="48"/>
    </row>
    <row r="884" spans="1:8" ht="13.8">
      <c r="A884" s="29"/>
      <c r="B884" s="62"/>
      <c r="C884" s="61"/>
      <c r="D884" s="5"/>
      <c r="E884" s="5"/>
      <c r="F884" s="5"/>
      <c r="G884" s="2"/>
      <c r="H884" s="48"/>
    </row>
    <row r="885" spans="1:8" ht="13.8">
      <c r="A885" s="29"/>
      <c r="B885" s="62"/>
      <c r="C885" s="61"/>
      <c r="D885" s="5"/>
      <c r="E885" s="5"/>
      <c r="F885" s="5"/>
      <c r="G885" s="2"/>
      <c r="H885" s="48"/>
    </row>
    <row r="886" spans="1:8" ht="13.8">
      <c r="A886" s="29"/>
      <c r="B886" s="62"/>
      <c r="C886" s="61"/>
      <c r="D886" s="5"/>
      <c r="E886" s="5"/>
      <c r="F886" s="5"/>
      <c r="G886" s="2"/>
      <c r="H886" s="48"/>
    </row>
    <row r="887" spans="1:8" ht="13.8">
      <c r="A887" s="29"/>
      <c r="B887" s="62"/>
      <c r="C887" s="61"/>
      <c r="D887" s="5"/>
      <c r="E887" s="5"/>
      <c r="F887" s="5"/>
      <c r="G887" s="2"/>
      <c r="H887" s="48"/>
    </row>
    <row r="888" spans="1:8" ht="13.8">
      <c r="A888" s="29"/>
      <c r="B888" s="62"/>
      <c r="C888" s="61"/>
      <c r="D888" s="5"/>
      <c r="E888" s="5"/>
      <c r="F888" s="5"/>
      <c r="G888" s="2"/>
      <c r="H888" s="48"/>
    </row>
    <row r="889" spans="1:8" ht="13.8">
      <c r="A889" s="29"/>
      <c r="B889" s="62"/>
      <c r="C889" s="61"/>
      <c r="D889" s="5"/>
      <c r="E889" s="5"/>
      <c r="F889" s="5"/>
      <c r="G889" s="2"/>
      <c r="H889" s="48"/>
    </row>
    <row r="890" spans="1:8" ht="13.8">
      <c r="A890" s="29"/>
      <c r="B890" s="62"/>
      <c r="C890" s="61"/>
      <c r="D890" s="5"/>
      <c r="E890" s="5"/>
      <c r="F890" s="5"/>
      <c r="G890" s="2"/>
      <c r="H890" s="48"/>
    </row>
    <row r="891" spans="1:8" ht="13.8">
      <c r="A891" s="29"/>
      <c r="B891" s="62"/>
      <c r="C891" s="61"/>
      <c r="D891" s="5"/>
      <c r="E891" s="5"/>
      <c r="F891" s="5"/>
      <c r="G891" s="2"/>
      <c r="H891" s="48"/>
    </row>
    <row r="892" spans="1:8" ht="13.8">
      <c r="A892" s="29"/>
      <c r="B892" s="62"/>
      <c r="C892" s="61"/>
      <c r="D892" s="5"/>
      <c r="E892" s="5"/>
      <c r="F892" s="5"/>
      <c r="G892" s="2"/>
      <c r="H892" s="48"/>
    </row>
    <row r="893" spans="1:8" ht="13.8">
      <c r="A893" s="29"/>
      <c r="B893" s="62"/>
      <c r="C893" s="61"/>
      <c r="D893" s="5"/>
      <c r="E893" s="5"/>
      <c r="F893" s="5"/>
      <c r="G893" s="2"/>
      <c r="H893" s="48"/>
    </row>
    <row r="894" spans="1:8" ht="13.8">
      <c r="A894" s="29"/>
      <c r="B894" s="62"/>
      <c r="C894" s="61"/>
      <c r="D894" s="5"/>
      <c r="E894" s="5"/>
      <c r="F894" s="5"/>
      <c r="G894" s="2"/>
      <c r="H894" s="48"/>
    </row>
    <row r="895" spans="1:8" ht="13.8">
      <c r="A895" s="29"/>
      <c r="B895" s="62"/>
      <c r="C895" s="61"/>
      <c r="D895" s="5"/>
      <c r="E895" s="5"/>
      <c r="F895" s="5"/>
      <c r="G895" s="2"/>
      <c r="H895" s="48"/>
    </row>
    <row r="896" spans="1:8" ht="13.8">
      <c r="A896" s="29"/>
      <c r="B896" s="62"/>
      <c r="C896" s="61"/>
      <c r="D896" s="5"/>
      <c r="E896" s="5"/>
      <c r="F896" s="5"/>
      <c r="G896" s="2"/>
      <c r="H896" s="48"/>
    </row>
    <row r="897" spans="1:8" ht="13.8">
      <c r="A897" s="29"/>
      <c r="B897" s="62"/>
      <c r="C897" s="61"/>
      <c r="D897" s="5"/>
      <c r="E897" s="5"/>
      <c r="F897" s="5"/>
      <c r="G897" s="2"/>
      <c r="H897" s="48"/>
    </row>
    <row r="898" spans="1:8" ht="13.8">
      <c r="A898" s="29"/>
      <c r="B898" s="62"/>
      <c r="C898" s="61"/>
      <c r="D898" s="5"/>
      <c r="E898" s="5"/>
      <c r="F898" s="5"/>
      <c r="G898" s="2"/>
      <c r="H898" s="48"/>
    </row>
    <row r="899" spans="1:8" ht="13.8">
      <c r="A899" s="29"/>
      <c r="B899" s="62"/>
      <c r="C899" s="61"/>
      <c r="D899" s="5"/>
      <c r="E899" s="5"/>
      <c r="F899" s="5"/>
      <c r="G899" s="2"/>
      <c r="H899" s="48"/>
    </row>
    <row r="900" spans="1:8" ht="13.8">
      <c r="A900" s="29"/>
      <c r="B900" s="62"/>
      <c r="C900" s="61"/>
      <c r="D900" s="5"/>
      <c r="E900" s="5"/>
      <c r="F900" s="5"/>
      <c r="G900" s="2"/>
      <c r="H900" s="48"/>
    </row>
    <row r="901" spans="1:8" ht="13.8">
      <c r="A901" s="29"/>
      <c r="B901" s="62"/>
      <c r="C901" s="61"/>
      <c r="D901" s="5"/>
      <c r="E901" s="5"/>
      <c r="F901" s="5"/>
      <c r="G901" s="2"/>
      <c r="H901" s="48"/>
    </row>
    <row r="902" spans="1:8" ht="13.8">
      <c r="A902" s="29"/>
      <c r="B902" s="62"/>
      <c r="C902" s="61"/>
      <c r="D902" s="5"/>
      <c r="E902" s="5"/>
      <c r="F902" s="5"/>
      <c r="G902" s="2"/>
      <c r="H902" s="48"/>
    </row>
    <row r="903" spans="1:8" ht="13.8">
      <c r="A903" s="29"/>
      <c r="B903" s="62"/>
      <c r="C903" s="61"/>
      <c r="D903" s="5"/>
      <c r="E903" s="5"/>
      <c r="F903" s="5"/>
      <c r="G903" s="2"/>
      <c r="H903" s="48"/>
    </row>
    <row r="904" spans="1:8" ht="13.8">
      <c r="A904" s="29"/>
      <c r="B904" s="62"/>
      <c r="C904" s="61"/>
      <c r="D904" s="5"/>
      <c r="E904" s="5"/>
      <c r="F904" s="5"/>
      <c r="G904" s="2"/>
      <c r="H904" s="48"/>
    </row>
    <row r="905" spans="1:8" ht="13.8">
      <c r="A905" s="29"/>
      <c r="B905" s="62"/>
      <c r="C905" s="61"/>
      <c r="D905" s="5"/>
      <c r="E905" s="5"/>
      <c r="F905" s="5"/>
      <c r="G905" s="2"/>
      <c r="H905" s="48"/>
    </row>
    <row r="906" spans="1:8" ht="13.8">
      <c r="A906" s="29"/>
      <c r="B906" s="62"/>
      <c r="C906" s="61"/>
      <c r="D906" s="5"/>
      <c r="E906" s="5"/>
      <c r="F906" s="5"/>
      <c r="G906" s="2"/>
      <c r="H906" s="48"/>
    </row>
    <row r="907" spans="1:8" ht="13.8">
      <c r="A907" s="29"/>
      <c r="B907" s="62"/>
      <c r="C907" s="61"/>
      <c r="D907" s="5"/>
      <c r="E907" s="5"/>
      <c r="F907" s="5"/>
      <c r="G907" s="2"/>
      <c r="H907" s="48"/>
    </row>
    <row r="908" spans="1:8" ht="13.8">
      <c r="A908" s="29"/>
      <c r="B908" s="62"/>
      <c r="C908" s="61"/>
      <c r="D908" s="5"/>
      <c r="E908" s="5"/>
      <c r="F908" s="5"/>
      <c r="G908" s="2"/>
      <c r="H908" s="48"/>
    </row>
    <row r="909" spans="1:8" ht="13.8">
      <c r="A909" s="29"/>
      <c r="B909" s="62"/>
      <c r="C909" s="61"/>
      <c r="D909" s="5"/>
      <c r="E909" s="5"/>
      <c r="F909" s="5"/>
      <c r="G909" s="2"/>
      <c r="H909" s="48"/>
    </row>
    <row r="910" spans="1:8" ht="13.8">
      <c r="A910" s="29"/>
      <c r="B910" s="62"/>
      <c r="C910" s="61"/>
      <c r="D910" s="5"/>
      <c r="E910" s="5"/>
      <c r="F910" s="5"/>
      <c r="G910" s="2"/>
      <c r="H910" s="48"/>
    </row>
    <row r="911" spans="1:8" ht="13.8">
      <c r="A911" s="29"/>
      <c r="B911" s="62"/>
      <c r="C911" s="61"/>
      <c r="D911" s="5"/>
      <c r="E911" s="5"/>
      <c r="F911" s="5"/>
      <c r="G911" s="2"/>
      <c r="H911" s="48"/>
    </row>
    <row r="912" spans="1:8" ht="13.8">
      <c r="A912" s="29"/>
      <c r="B912" s="62"/>
      <c r="C912" s="61"/>
      <c r="D912" s="5"/>
      <c r="E912" s="5"/>
      <c r="F912" s="5"/>
      <c r="G912" s="2"/>
      <c r="H912" s="48"/>
    </row>
    <row r="913" spans="1:8" ht="13.8">
      <c r="A913" s="29"/>
      <c r="B913" s="62"/>
      <c r="C913" s="61"/>
      <c r="D913" s="5"/>
      <c r="E913" s="5"/>
      <c r="F913" s="5"/>
      <c r="G913" s="2"/>
      <c r="H913" s="48"/>
    </row>
    <row r="914" spans="1:8" ht="13.8">
      <c r="A914" s="29"/>
      <c r="B914" s="62"/>
      <c r="C914" s="61"/>
      <c r="D914" s="5"/>
      <c r="E914" s="5"/>
      <c r="F914" s="5"/>
      <c r="G914" s="2"/>
      <c r="H914" s="48"/>
    </row>
    <row r="915" spans="1:8" ht="13.8">
      <c r="A915" s="29"/>
      <c r="B915" s="62"/>
      <c r="C915" s="61"/>
      <c r="D915" s="5"/>
      <c r="E915" s="5"/>
      <c r="F915" s="5"/>
      <c r="G915" s="2"/>
      <c r="H915" s="48"/>
    </row>
    <row r="916" spans="1:8" ht="13.8">
      <c r="A916" s="29"/>
      <c r="B916" s="62"/>
      <c r="C916" s="61"/>
      <c r="D916" s="5"/>
      <c r="E916" s="5"/>
      <c r="F916" s="5"/>
      <c r="G916" s="2"/>
      <c r="H916" s="48"/>
    </row>
    <row r="917" spans="1:8" ht="13.8">
      <c r="A917" s="29"/>
      <c r="B917" s="62"/>
      <c r="C917" s="61"/>
      <c r="D917" s="5"/>
      <c r="E917" s="5"/>
      <c r="F917" s="5"/>
      <c r="G917" s="2"/>
      <c r="H917" s="48"/>
    </row>
    <row r="918" spans="1:8" ht="13.8">
      <c r="A918" s="29"/>
      <c r="B918" s="62"/>
      <c r="C918" s="61"/>
      <c r="D918" s="5"/>
      <c r="E918" s="5"/>
      <c r="F918" s="5"/>
      <c r="G918" s="2"/>
      <c r="H918" s="48"/>
    </row>
    <row r="919" spans="1:8" ht="13.8">
      <c r="A919" s="29"/>
      <c r="B919" s="62"/>
      <c r="C919" s="61"/>
      <c r="D919" s="5"/>
      <c r="E919" s="5"/>
      <c r="F919" s="5"/>
      <c r="G919" s="2"/>
      <c r="H919" s="48"/>
    </row>
    <row r="920" spans="1:8" ht="13.8">
      <c r="A920" s="29"/>
      <c r="B920" s="62"/>
      <c r="C920" s="61"/>
      <c r="D920" s="5"/>
      <c r="E920" s="5"/>
      <c r="F920" s="5"/>
      <c r="G920" s="2"/>
      <c r="H920" s="48"/>
    </row>
    <row r="921" spans="1:8" ht="13.8">
      <c r="A921" s="29"/>
      <c r="B921" s="62"/>
      <c r="C921" s="61"/>
      <c r="D921" s="5"/>
      <c r="E921" s="5"/>
      <c r="F921" s="5"/>
      <c r="G921" s="2"/>
      <c r="H921" s="48"/>
    </row>
    <row r="922" spans="1:8" ht="13.8">
      <c r="A922" s="29"/>
      <c r="B922" s="62"/>
      <c r="C922" s="61"/>
      <c r="D922" s="5"/>
      <c r="E922" s="5"/>
      <c r="F922" s="5"/>
      <c r="G922" s="2"/>
      <c r="H922" s="48"/>
    </row>
    <row r="923" spans="1:8" ht="13.8">
      <c r="A923" s="29"/>
      <c r="B923" s="62"/>
      <c r="C923" s="61"/>
      <c r="D923" s="5"/>
      <c r="E923" s="5"/>
      <c r="F923" s="5"/>
      <c r="G923" s="2"/>
      <c r="H923" s="48"/>
    </row>
    <row r="924" spans="1:8" ht="13.8">
      <c r="A924" s="29"/>
      <c r="B924" s="62"/>
      <c r="C924" s="61"/>
      <c r="D924" s="5"/>
      <c r="E924" s="5"/>
      <c r="F924" s="5"/>
      <c r="G924" s="2"/>
      <c r="H924" s="48"/>
    </row>
    <row r="925" spans="1:8" ht="13.8">
      <c r="A925" s="29"/>
      <c r="B925" s="62"/>
      <c r="C925" s="61"/>
      <c r="D925" s="5"/>
      <c r="E925" s="5"/>
      <c r="F925" s="5"/>
      <c r="G925" s="2"/>
      <c r="H925" s="48"/>
    </row>
    <row r="926" spans="1:8" ht="13.8">
      <c r="A926" s="29"/>
      <c r="B926" s="62"/>
      <c r="C926" s="61"/>
      <c r="D926" s="5"/>
      <c r="E926" s="5"/>
      <c r="F926" s="5"/>
      <c r="G926" s="2"/>
      <c r="H926" s="48"/>
    </row>
    <row r="927" spans="1:8" ht="13.8">
      <c r="A927" s="29"/>
      <c r="B927" s="62"/>
      <c r="C927" s="61"/>
      <c r="D927" s="5"/>
      <c r="E927" s="5"/>
      <c r="F927" s="5"/>
      <c r="G927" s="2"/>
      <c r="H927" s="48"/>
    </row>
    <row r="928" spans="1:8" ht="13.8">
      <c r="A928" s="29"/>
      <c r="B928" s="62"/>
      <c r="C928" s="61"/>
      <c r="D928" s="5"/>
      <c r="E928" s="5"/>
      <c r="F928" s="5"/>
      <c r="G928" s="2"/>
      <c r="H928" s="48"/>
    </row>
    <row r="929" spans="1:8" ht="13.8">
      <c r="A929" s="29"/>
      <c r="B929" s="62"/>
      <c r="C929" s="61"/>
      <c r="D929" s="5"/>
      <c r="E929" s="5"/>
      <c r="F929" s="5"/>
      <c r="G929" s="2"/>
      <c r="H929" s="48"/>
    </row>
    <row r="930" spans="1:8" ht="13.8">
      <c r="A930" s="29"/>
      <c r="B930" s="62"/>
      <c r="C930" s="61"/>
      <c r="D930" s="5"/>
      <c r="E930" s="5"/>
      <c r="F930" s="5"/>
      <c r="G930" s="2"/>
      <c r="H930" s="48"/>
    </row>
    <row r="931" spans="1:8" ht="13.8">
      <c r="A931" s="29"/>
      <c r="B931" s="62"/>
      <c r="C931" s="61"/>
      <c r="D931" s="5"/>
      <c r="E931" s="5"/>
      <c r="F931" s="5"/>
      <c r="G931" s="2"/>
      <c r="H931" s="48"/>
    </row>
    <row r="932" spans="1:8" ht="13.8">
      <c r="A932" s="29"/>
      <c r="B932" s="62"/>
      <c r="C932" s="61"/>
      <c r="D932" s="5"/>
      <c r="E932" s="5"/>
      <c r="F932" s="5"/>
      <c r="G932" s="2"/>
      <c r="H932" s="48"/>
    </row>
    <row r="933" spans="1:8" ht="13.8">
      <c r="A933" s="29"/>
      <c r="B933" s="62"/>
      <c r="C933" s="61"/>
      <c r="D933" s="5"/>
      <c r="E933" s="5"/>
      <c r="F933" s="5"/>
      <c r="G933" s="2"/>
      <c r="H933" s="48"/>
    </row>
    <row r="934" spans="1:8" ht="13.8">
      <c r="A934" s="29"/>
      <c r="B934" s="62"/>
      <c r="C934" s="61"/>
      <c r="D934" s="5"/>
      <c r="E934" s="5"/>
      <c r="F934" s="5"/>
      <c r="G934" s="2"/>
      <c r="H934" s="48"/>
    </row>
    <row r="935" spans="1:8" ht="13.8">
      <c r="A935" s="29"/>
      <c r="B935" s="62"/>
      <c r="C935" s="61"/>
      <c r="D935" s="5"/>
      <c r="E935" s="5"/>
      <c r="F935" s="5"/>
      <c r="G935" s="2"/>
      <c r="H935" s="48"/>
    </row>
    <row r="936" spans="1:8" ht="13.8">
      <c r="A936" s="29"/>
      <c r="B936" s="62"/>
      <c r="C936" s="61"/>
      <c r="D936" s="5"/>
      <c r="E936" s="5"/>
      <c r="F936" s="5"/>
      <c r="G936" s="2"/>
      <c r="H936" s="48"/>
    </row>
    <row r="937" spans="1:8" ht="13.8">
      <c r="A937" s="29"/>
      <c r="B937" s="62"/>
      <c r="C937" s="61"/>
      <c r="D937" s="5"/>
      <c r="E937" s="5"/>
      <c r="F937" s="5"/>
      <c r="G937" s="2"/>
      <c r="H937" s="48"/>
    </row>
    <row r="938" spans="1:8" ht="13.8">
      <c r="A938" s="29"/>
      <c r="B938" s="62"/>
      <c r="C938" s="61"/>
      <c r="D938" s="5"/>
      <c r="E938" s="5"/>
      <c r="F938" s="5"/>
      <c r="G938" s="2"/>
      <c r="H938" s="48"/>
    </row>
    <row r="939" spans="1:8" ht="13.8">
      <c r="A939" s="29"/>
      <c r="B939" s="62"/>
      <c r="C939" s="61"/>
      <c r="D939" s="5"/>
      <c r="E939" s="5"/>
      <c r="F939" s="5"/>
      <c r="G939" s="2"/>
      <c r="H939" s="48"/>
    </row>
    <row r="940" spans="1:8" ht="13.8">
      <c r="A940" s="29"/>
      <c r="B940" s="62"/>
      <c r="C940" s="61"/>
      <c r="D940" s="5"/>
      <c r="E940" s="5"/>
      <c r="F940" s="5"/>
      <c r="G940" s="2"/>
      <c r="H940" s="48"/>
    </row>
    <row r="941" spans="1:8" ht="13.8">
      <c r="A941" s="29"/>
      <c r="B941" s="62"/>
      <c r="C941" s="61"/>
      <c r="D941" s="5"/>
      <c r="E941" s="5"/>
      <c r="F941" s="5"/>
      <c r="G941" s="2"/>
      <c r="H941" s="48"/>
    </row>
    <row r="942" spans="1:8" ht="13.8">
      <c r="A942" s="29"/>
      <c r="B942" s="62"/>
      <c r="C942" s="61"/>
      <c r="D942" s="5"/>
      <c r="E942" s="5"/>
      <c r="F942" s="5"/>
      <c r="G942" s="2"/>
      <c r="H942" s="48"/>
    </row>
    <row r="943" spans="1:8" ht="13.8">
      <c r="A943" s="29"/>
      <c r="B943" s="62"/>
      <c r="C943" s="61"/>
      <c r="D943" s="5"/>
      <c r="E943" s="5"/>
      <c r="F943" s="5"/>
      <c r="G943" s="2"/>
      <c r="H943" s="48"/>
    </row>
    <row r="944" spans="1:8" ht="13.8">
      <c r="A944" s="29"/>
      <c r="B944" s="62"/>
      <c r="C944" s="61"/>
      <c r="D944" s="5"/>
      <c r="E944" s="5"/>
      <c r="F944" s="5"/>
      <c r="G944" s="2"/>
      <c r="H944" s="48"/>
    </row>
    <row r="945" spans="1:8" ht="13.8">
      <c r="A945" s="29"/>
      <c r="B945" s="62"/>
      <c r="C945" s="61"/>
      <c r="D945" s="5"/>
      <c r="E945" s="5"/>
      <c r="F945" s="5"/>
      <c r="G945" s="2"/>
      <c r="H945" s="48"/>
    </row>
    <row r="946" spans="1:8" ht="13.8">
      <c r="A946" s="29"/>
      <c r="B946" s="62"/>
      <c r="C946" s="61"/>
      <c r="D946" s="5"/>
      <c r="E946" s="5"/>
      <c r="F946" s="5"/>
      <c r="G946" s="2"/>
      <c r="H946" s="48"/>
    </row>
    <row r="947" spans="1:8" ht="13.8">
      <c r="A947" s="29"/>
      <c r="B947" s="62"/>
      <c r="C947" s="61"/>
      <c r="D947" s="5"/>
      <c r="E947" s="5"/>
      <c r="F947" s="5"/>
      <c r="G947" s="2"/>
      <c r="H947" s="48"/>
    </row>
    <row r="948" spans="1:8" ht="13.8">
      <c r="A948" s="29"/>
      <c r="B948" s="62"/>
      <c r="C948" s="61"/>
      <c r="D948" s="5"/>
      <c r="E948" s="5"/>
      <c r="F948" s="5"/>
      <c r="G948" s="2"/>
      <c r="H948" s="48"/>
    </row>
    <row r="949" spans="1:8" ht="13.8">
      <c r="A949" s="29"/>
      <c r="B949" s="62"/>
      <c r="C949" s="61"/>
      <c r="D949" s="5"/>
      <c r="E949" s="5"/>
      <c r="F949" s="5"/>
      <c r="G949" s="2"/>
      <c r="H949" s="48"/>
    </row>
    <row r="950" spans="1:8" ht="13.8">
      <c r="A950" s="29"/>
      <c r="B950" s="62"/>
      <c r="C950" s="61"/>
      <c r="D950" s="5"/>
      <c r="E950" s="5"/>
      <c r="F950" s="5"/>
      <c r="G950" s="2"/>
      <c r="H950" s="48"/>
    </row>
    <row r="951" spans="1:8" ht="13.8">
      <c r="A951" s="29"/>
      <c r="B951" s="62"/>
      <c r="C951" s="61"/>
      <c r="D951" s="5"/>
      <c r="E951" s="5"/>
      <c r="F951" s="5"/>
      <c r="G951" s="2"/>
      <c r="H951" s="48"/>
    </row>
    <row r="952" spans="1:8" ht="13.8">
      <c r="A952" s="29"/>
      <c r="B952" s="62"/>
      <c r="C952" s="61"/>
      <c r="D952" s="5"/>
      <c r="E952" s="5"/>
      <c r="F952" s="5"/>
      <c r="G952" s="2"/>
      <c r="H952" s="48"/>
    </row>
    <row r="953" spans="1:8" ht="13.8">
      <c r="A953" s="29"/>
      <c r="B953" s="62"/>
      <c r="C953" s="61"/>
      <c r="D953" s="5"/>
      <c r="E953" s="5"/>
      <c r="F953" s="5"/>
      <c r="G953" s="2"/>
      <c r="H953" s="48"/>
    </row>
    <row r="954" spans="1:8" ht="13.8">
      <c r="A954" s="29"/>
      <c r="B954" s="62"/>
      <c r="C954" s="61"/>
      <c r="D954" s="5"/>
      <c r="E954" s="5"/>
      <c r="F954" s="5"/>
      <c r="G954" s="2"/>
      <c r="H954" s="48"/>
    </row>
    <row r="955" spans="1:8" ht="13.8">
      <c r="A955" s="29"/>
      <c r="B955" s="62"/>
      <c r="C955" s="61"/>
      <c r="D955" s="5"/>
      <c r="E955" s="5"/>
      <c r="F955" s="5"/>
      <c r="G955" s="2"/>
      <c r="H955" s="48"/>
    </row>
    <row r="956" spans="1:8" ht="13.8">
      <c r="A956" s="29"/>
      <c r="B956" s="62"/>
      <c r="C956" s="61"/>
      <c r="D956" s="5"/>
      <c r="E956" s="5"/>
      <c r="F956" s="5"/>
      <c r="G956" s="2"/>
      <c r="H956" s="48"/>
    </row>
    <row r="957" spans="1:8" ht="13.8">
      <c r="A957" s="29"/>
      <c r="B957" s="62"/>
      <c r="C957" s="61"/>
      <c r="D957" s="5"/>
      <c r="E957" s="5"/>
      <c r="F957" s="5"/>
      <c r="G957" s="2"/>
      <c r="H957" s="48"/>
    </row>
    <row r="958" spans="1:8" ht="13.8">
      <c r="A958" s="29"/>
      <c r="B958" s="62"/>
      <c r="C958" s="61"/>
      <c r="D958" s="5"/>
      <c r="E958" s="5"/>
      <c r="F958" s="5"/>
      <c r="G958" s="2"/>
      <c r="H958" s="48"/>
    </row>
    <row r="959" spans="1:8" ht="13.8">
      <c r="A959" s="29"/>
      <c r="B959" s="62"/>
      <c r="C959" s="61"/>
      <c r="D959" s="5"/>
      <c r="E959" s="5"/>
      <c r="F959" s="5"/>
      <c r="G959" s="2"/>
      <c r="H959" s="48"/>
    </row>
    <row r="960" spans="1:8" ht="13.8">
      <c r="A960" s="29"/>
      <c r="B960" s="62"/>
      <c r="C960" s="61"/>
      <c r="D960" s="5"/>
      <c r="E960" s="5"/>
      <c r="F960" s="5"/>
      <c r="G960" s="2"/>
      <c r="H960" s="48"/>
    </row>
    <row r="961" spans="1:8" ht="13.8">
      <c r="A961" s="29"/>
      <c r="B961" s="62"/>
      <c r="C961" s="61"/>
      <c r="D961" s="5"/>
      <c r="E961" s="5"/>
      <c r="F961" s="5"/>
      <c r="G961" s="2"/>
      <c r="H961" s="48"/>
    </row>
    <row r="962" spans="1:8" ht="13.8">
      <c r="A962" s="29"/>
      <c r="B962" s="62"/>
      <c r="C962" s="61"/>
      <c r="D962" s="5"/>
      <c r="E962" s="5"/>
      <c r="F962" s="5"/>
      <c r="G962" s="2"/>
      <c r="H962" s="48"/>
    </row>
    <row r="963" spans="1:8" ht="13.8">
      <c r="A963" s="29"/>
      <c r="B963" s="62"/>
      <c r="C963" s="61"/>
      <c r="D963" s="5"/>
      <c r="E963" s="5"/>
      <c r="F963" s="5"/>
      <c r="G963" s="2"/>
      <c r="H963" s="48"/>
    </row>
    <row r="964" spans="1:8" ht="13.8">
      <c r="A964" s="29"/>
      <c r="B964" s="62"/>
      <c r="C964" s="61"/>
      <c r="D964" s="5"/>
      <c r="E964" s="5"/>
      <c r="F964" s="5"/>
      <c r="G964" s="2"/>
      <c r="H964" s="48"/>
    </row>
    <row r="965" spans="1:8" ht="13.8">
      <c r="A965" s="29"/>
      <c r="B965" s="62"/>
      <c r="C965" s="61"/>
      <c r="D965" s="5"/>
      <c r="E965" s="5"/>
      <c r="F965" s="5"/>
      <c r="G965" s="2"/>
      <c r="H965" s="48"/>
    </row>
    <row r="966" spans="1:8" ht="13.8">
      <c r="A966" s="29"/>
      <c r="B966" s="62"/>
      <c r="C966" s="61"/>
      <c r="D966" s="5"/>
      <c r="E966" s="5"/>
      <c r="F966" s="5"/>
      <c r="G966" s="2"/>
      <c r="H966" s="48"/>
    </row>
    <row r="967" spans="1:8" ht="13.8">
      <c r="A967" s="29"/>
      <c r="B967" s="62"/>
      <c r="C967" s="61"/>
      <c r="D967" s="5"/>
      <c r="E967" s="5"/>
      <c r="F967" s="5"/>
      <c r="G967" s="2"/>
      <c r="H967" s="48"/>
    </row>
    <row r="968" spans="1:8" ht="13.8">
      <c r="A968" s="29"/>
      <c r="B968" s="62"/>
      <c r="C968" s="61"/>
      <c r="D968" s="5"/>
      <c r="E968" s="5"/>
      <c r="F968" s="5"/>
      <c r="G968" s="2"/>
      <c r="H968" s="48"/>
    </row>
    <row r="969" spans="1:8" ht="13.8">
      <c r="A969" s="29"/>
      <c r="B969" s="62"/>
      <c r="C969" s="61"/>
      <c r="D969" s="5"/>
      <c r="E969" s="5"/>
      <c r="F969" s="5"/>
      <c r="G969" s="2"/>
      <c r="H969" s="48"/>
    </row>
    <row r="970" spans="1:8" ht="13.8">
      <c r="A970" s="29"/>
      <c r="B970" s="62"/>
      <c r="C970" s="61"/>
      <c r="D970" s="5"/>
      <c r="E970" s="5"/>
      <c r="F970" s="5"/>
      <c r="G970" s="2"/>
      <c r="H970" s="48"/>
    </row>
    <row r="971" spans="1:8" ht="13.8">
      <c r="A971" s="29"/>
      <c r="B971" s="62"/>
      <c r="C971" s="61"/>
      <c r="D971" s="5"/>
      <c r="E971" s="5"/>
      <c r="F971" s="5"/>
      <c r="G971" s="2"/>
      <c r="H971" s="48"/>
    </row>
    <row r="972" spans="1:8" ht="13.8">
      <c r="A972" s="29"/>
      <c r="B972" s="62"/>
      <c r="C972" s="61"/>
      <c r="D972" s="5"/>
      <c r="E972" s="5"/>
      <c r="F972" s="5"/>
      <c r="G972" s="2"/>
      <c r="H972" s="48"/>
    </row>
    <row r="973" spans="1:8" ht="13.8">
      <c r="A973" s="29"/>
      <c r="B973" s="62"/>
      <c r="C973" s="61"/>
      <c r="D973" s="5"/>
      <c r="E973" s="5"/>
      <c r="F973" s="5"/>
      <c r="G973" s="2"/>
      <c r="H973" s="48"/>
    </row>
    <row r="974" spans="1:8" ht="13.8">
      <c r="A974" s="29"/>
      <c r="B974" s="62"/>
      <c r="C974" s="61"/>
      <c r="D974" s="5"/>
      <c r="E974" s="5"/>
      <c r="F974" s="5"/>
      <c r="G974" s="2"/>
      <c r="H974" s="48"/>
    </row>
    <row r="975" spans="1:8" ht="13.8">
      <c r="A975" s="29"/>
      <c r="B975" s="62"/>
      <c r="C975" s="61"/>
      <c r="D975" s="5"/>
      <c r="E975" s="5"/>
      <c r="F975" s="5"/>
      <c r="G975" s="2"/>
      <c r="H975" s="48"/>
    </row>
    <row r="976" spans="1:8" ht="13.8">
      <c r="A976" s="29"/>
      <c r="B976" s="62"/>
      <c r="C976" s="61"/>
      <c r="D976" s="5"/>
      <c r="E976" s="5"/>
      <c r="F976" s="5"/>
      <c r="G976" s="2"/>
      <c r="H976" s="48"/>
    </row>
    <row r="977" spans="1:8" ht="13.8">
      <c r="A977" s="29"/>
      <c r="B977" s="62"/>
      <c r="C977" s="61"/>
      <c r="D977" s="5"/>
      <c r="E977" s="5"/>
      <c r="F977" s="5"/>
      <c r="G977" s="2"/>
      <c r="H977" s="48"/>
    </row>
    <row r="978" spans="1:8" ht="13.8">
      <c r="A978" s="29"/>
      <c r="B978" s="62"/>
      <c r="C978" s="61"/>
      <c r="D978" s="5"/>
      <c r="E978" s="5"/>
      <c r="F978" s="5"/>
      <c r="G978" s="2"/>
      <c r="H978" s="48"/>
    </row>
    <row r="979" spans="1:8" ht="13.8">
      <c r="A979" s="29"/>
      <c r="B979" s="62"/>
      <c r="C979" s="61"/>
      <c r="D979" s="5"/>
      <c r="E979" s="5"/>
      <c r="F979" s="5"/>
      <c r="G979" s="2"/>
      <c r="H979" s="48"/>
    </row>
    <row r="980" spans="1:8" ht="13.8">
      <c r="A980" s="29"/>
      <c r="B980" s="62"/>
      <c r="C980" s="61"/>
      <c r="D980" s="5"/>
      <c r="E980" s="5"/>
      <c r="F980" s="5"/>
      <c r="G980" s="2"/>
      <c r="H980" s="48"/>
    </row>
    <row r="981" spans="1:8" ht="13.8">
      <c r="A981" s="29"/>
      <c r="B981" s="62"/>
      <c r="C981" s="61"/>
      <c r="D981" s="5"/>
      <c r="E981" s="5"/>
      <c r="F981" s="5"/>
      <c r="G981" s="2"/>
      <c r="H981" s="48"/>
    </row>
    <row r="982" spans="1:8" ht="13.8">
      <c r="A982" s="29"/>
      <c r="B982" s="62"/>
      <c r="C982" s="61"/>
      <c r="D982" s="5"/>
      <c r="E982" s="5"/>
      <c r="F982" s="5"/>
      <c r="G982" s="2"/>
      <c r="H982" s="48"/>
    </row>
    <row r="983" spans="1:8" ht="13.8">
      <c r="A983" s="29"/>
      <c r="B983" s="62"/>
      <c r="C983" s="61"/>
      <c r="D983" s="5"/>
      <c r="E983" s="5"/>
      <c r="F983" s="5"/>
      <c r="G983" s="2"/>
      <c r="H983" s="48"/>
    </row>
    <row r="984" spans="1:8" ht="13.8">
      <c r="A984" s="29"/>
      <c r="B984" s="62"/>
      <c r="C984" s="61"/>
      <c r="D984" s="5"/>
      <c r="E984" s="5"/>
      <c r="F984" s="5"/>
      <c r="G984" s="2"/>
      <c r="H984" s="48"/>
    </row>
    <row r="985" spans="1:8" ht="13.8">
      <c r="A985" s="29"/>
      <c r="B985" s="62"/>
      <c r="C985" s="61"/>
      <c r="D985" s="5"/>
      <c r="E985" s="5"/>
      <c r="F985" s="5"/>
      <c r="G985" s="2"/>
      <c r="H985" s="48"/>
    </row>
    <row r="986" spans="1:8" ht="13.8">
      <c r="A986" s="29"/>
      <c r="B986" s="62"/>
      <c r="C986" s="61"/>
      <c r="D986" s="5"/>
      <c r="E986" s="5"/>
      <c r="F986" s="5"/>
      <c r="G986" s="2"/>
      <c r="H986" s="48"/>
    </row>
    <row r="987" spans="1:8" ht="13.8">
      <c r="A987" s="29"/>
      <c r="B987" s="62"/>
      <c r="C987" s="61"/>
      <c r="D987" s="5"/>
      <c r="E987" s="5"/>
      <c r="F987" s="5"/>
      <c r="G987" s="2"/>
      <c r="H987" s="48"/>
    </row>
    <row r="988" spans="1:8" ht="13.8">
      <c r="A988" s="29"/>
      <c r="B988" s="62"/>
      <c r="C988" s="61"/>
      <c r="D988" s="5"/>
      <c r="E988" s="5"/>
      <c r="F988" s="5"/>
      <c r="G988" s="2"/>
      <c r="H988" s="48"/>
    </row>
    <row r="989" spans="1:8" ht="13.8">
      <c r="A989" s="29"/>
      <c r="B989" s="62"/>
      <c r="C989" s="61"/>
      <c r="D989" s="5"/>
      <c r="E989" s="5"/>
      <c r="F989" s="5"/>
      <c r="G989" s="2"/>
      <c r="H989" s="48"/>
    </row>
    <row r="990" spans="1:8" ht="13.8">
      <c r="A990" s="29"/>
      <c r="B990" s="62"/>
      <c r="C990" s="61"/>
      <c r="D990" s="5"/>
      <c r="E990" s="5"/>
      <c r="F990" s="5"/>
      <c r="G990" s="2"/>
      <c r="H990" s="48"/>
    </row>
    <row r="991" spans="1:8" ht="13.8">
      <c r="A991" s="29"/>
      <c r="B991" s="62"/>
      <c r="C991" s="61"/>
      <c r="D991" s="5"/>
      <c r="E991" s="5"/>
      <c r="F991" s="5"/>
      <c r="G991" s="2"/>
      <c r="H991" s="48"/>
    </row>
    <row r="992" spans="1:8" ht="13.8">
      <c r="A992" s="29"/>
      <c r="B992" s="62"/>
      <c r="C992" s="61"/>
      <c r="D992" s="5"/>
      <c r="E992" s="5"/>
      <c r="F992" s="5"/>
      <c r="G992" s="2"/>
      <c r="H992" s="48"/>
    </row>
    <row r="993" spans="1:8" ht="13.8">
      <c r="A993" s="29"/>
      <c r="B993" s="62"/>
      <c r="C993" s="61"/>
      <c r="D993" s="5"/>
      <c r="E993" s="5"/>
      <c r="F993" s="5"/>
      <c r="G993" s="2"/>
      <c r="H993" s="48"/>
    </row>
    <row r="994" spans="1:8" ht="13.8">
      <c r="A994" s="29"/>
      <c r="B994" s="62"/>
      <c r="C994" s="61"/>
      <c r="D994" s="5"/>
      <c r="E994" s="5"/>
      <c r="F994" s="5"/>
      <c r="G994" s="2"/>
      <c r="H994" s="48"/>
    </row>
    <row r="995" spans="1:8" ht="13.8">
      <c r="A995" s="29"/>
      <c r="B995" s="62"/>
      <c r="C995" s="61"/>
      <c r="D995" s="5"/>
      <c r="E995" s="5"/>
      <c r="F995" s="5"/>
      <c r="G995" s="2"/>
      <c r="H995" s="48"/>
    </row>
    <row r="996" spans="1:8" ht="13.8">
      <c r="A996" s="29"/>
      <c r="B996" s="62"/>
      <c r="C996" s="61"/>
      <c r="D996" s="5"/>
      <c r="E996" s="5"/>
      <c r="F996" s="5"/>
      <c r="G996" s="2"/>
      <c r="H996" s="48"/>
    </row>
    <row r="997" spans="1:8" ht="13.8">
      <c r="A997" s="29"/>
      <c r="B997" s="62"/>
      <c r="C997" s="61"/>
      <c r="D997" s="5"/>
      <c r="E997" s="5"/>
      <c r="F997" s="5"/>
      <c r="G997" s="2"/>
      <c r="H997" s="48"/>
    </row>
    <row r="998" spans="1:8" ht="13.8">
      <c r="A998" s="29"/>
      <c r="B998" s="62"/>
      <c r="C998" s="61"/>
      <c r="D998" s="5"/>
      <c r="E998" s="5"/>
      <c r="F998" s="5"/>
      <c r="G998" s="2"/>
      <c r="H998" s="48"/>
    </row>
    <row r="999" spans="1:8" ht="13.8">
      <c r="A999" s="29"/>
      <c r="B999" s="62"/>
      <c r="C999" s="61"/>
      <c r="D999" s="5"/>
      <c r="E999" s="5"/>
      <c r="F999" s="5"/>
      <c r="G999" s="2"/>
      <c r="H999" s="48"/>
    </row>
    <row r="1000" spans="1:8" ht="13.8">
      <c r="A1000" s="29"/>
      <c r="B1000" s="62"/>
      <c r="C1000" s="61"/>
      <c r="D1000" s="5"/>
      <c r="E1000" s="5"/>
      <c r="F1000" s="5"/>
      <c r="G1000" s="2"/>
      <c r="H1000" s="48"/>
    </row>
    <row r="1001" spans="1:8" ht="13.8">
      <c r="A1001" s="29"/>
      <c r="B1001" s="62"/>
      <c r="C1001" s="61"/>
      <c r="D1001" s="5"/>
      <c r="E1001" s="5"/>
      <c r="F1001" s="5"/>
      <c r="G1001" s="2"/>
      <c r="H1001" s="48"/>
    </row>
    <row r="1002" spans="1:8" ht="13.8">
      <c r="A1002" s="29"/>
      <c r="B1002" s="62"/>
      <c r="C1002" s="61"/>
      <c r="D1002" s="5"/>
      <c r="E1002" s="5"/>
      <c r="F1002" s="5"/>
      <c r="G1002" s="2"/>
      <c r="H1002" s="48"/>
    </row>
    <row r="1003" spans="1:8" ht="13.8">
      <c r="A1003" s="29"/>
      <c r="B1003" s="62"/>
      <c r="C1003" s="61"/>
      <c r="D1003" s="5"/>
      <c r="E1003" s="5"/>
      <c r="F1003" s="5"/>
      <c r="G1003" s="2"/>
      <c r="H1003" s="48"/>
    </row>
    <row r="1004" spans="1:8" ht="13.8">
      <c r="A1004" s="29"/>
      <c r="B1004" s="62"/>
      <c r="C1004" s="61"/>
      <c r="D1004" s="5"/>
      <c r="E1004" s="5"/>
      <c r="F1004" s="5"/>
      <c r="G1004" s="2"/>
      <c r="H1004" s="48"/>
    </row>
    <row r="1005" spans="1:8" ht="13.8">
      <c r="A1005" s="29"/>
      <c r="B1005" s="62"/>
      <c r="C1005" s="61"/>
      <c r="D1005" s="5"/>
      <c r="E1005" s="5"/>
      <c r="F1005" s="5"/>
      <c r="G1005" s="2"/>
      <c r="H1005" s="48"/>
    </row>
    <row r="1006" spans="1:8" ht="13.8">
      <c r="A1006" s="29"/>
      <c r="B1006" s="62"/>
      <c r="C1006" s="61"/>
      <c r="D1006" s="5"/>
      <c r="E1006" s="5"/>
      <c r="F1006" s="5"/>
      <c r="G1006" s="2"/>
      <c r="H1006" s="48"/>
    </row>
    <row r="1007" spans="1:8" ht="13.8">
      <c r="A1007" s="29"/>
      <c r="B1007" s="62"/>
      <c r="C1007" s="61"/>
      <c r="D1007" s="5"/>
      <c r="E1007" s="5"/>
      <c r="F1007" s="5"/>
      <c r="G1007" s="2"/>
      <c r="H1007" s="48"/>
    </row>
    <row r="1008" spans="1:8" ht="13.8">
      <c r="A1008" s="29"/>
      <c r="B1008" s="62"/>
      <c r="C1008" s="61"/>
      <c r="D1008" s="5"/>
      <c r="E1008" s="5"/>
      <c r="F1008" s="5"/>
      <c r="G1008" s="2"/>
      <c r="H1008" s="48"/>
    </row>
    <row r="1009" spans="1:8" ht="13.8">
      <c r="A1009" s="29"/>
      <c r="B1009" s="62"/>
      <c r="C1009" s="61"/>
      <c r="D1009" s="5"/>
      <c r="E1009" s="5"/>
      <c r="F1009" s="5"/>
      <c r="G1009" s="2"/>
      <c r="H1009" s="48"/>
    </row>
    <row r="1010" spans="1:8" ht="13.8">
      <c r="A1010" s="29"/>
      <c r="B1010" s="62"/>
      <c r="C1010" s="61"/>
      <c r="D1010" s="5"/>
      <c r="E1010" s="5"/>
      <c r="F1010" s="5"/>
      <c r="G1010" s="2"/>
      <c r="H1010" s="48"/>
    </row>
    <row r="1011" spans="1:8" ht="13.8">
      <c r="A1011" s="29"/>
      <c r="B1011" s="62"/>
      <c r="C1011" s="61"/>
      <c r="D1011" s="5"/>
      <c r="E1011" s="5"/>
      <c r="F1011" s="5"/>
      <c r="G1011" s="2"/>
      <c r="H1011" s="48"/>
    </row>
    <row r="1012" spans="1:8" ht="13.8">
      <c r="A1012" s="29"/>
      <c r="B1012" s="62"/>
      <c r="C1012" s="61"/>
      <c r="D1012" s="5"/>
      <c r="E1012" s="5"/>
      <c r="F1012" s="5"/>
      <c r="G1012" s="2"/>
      <c r="H1012" s="48"/>
    </row>
    <row r="1013" spans="1:8" ht="13.8">
      <c r="A1013" s="29"/>
      <c r="B1013" s="62"/>
      <c r="C1013" s="61"/>
      <c r="D1013" s="5"/>
      <c r="E1013" s="5"/>
      <c r="F1013" s="5"/>
      <c r="G1013" s="2"/>
      <c r="H1013" s="48"/>
    </row>
    <row r="1014" spans="1:8" ht="13.8">
      <c r="A1014" s="29"/>
      <c r="B1014" s="62"/>
      <c r="C1014" s="61"/>
      <c r="D1014" s="5"/>
      <c r="E1014" s="5"/>
      <c r="F1014" s="5"/>
      <c r="G1014" s="2"/>
      <c r="H1014" s="48"/>
    </row>
    <row r="1015" spans="1:8" ht="13.8">
      <c r="A1015" s="29"/>
      <c r="B1015" s="62"/>
      <c r="C1015" s="61"/>
      <c r="D1015" s="5"/>
      <c r="E1015" s="5"/>
      <c r="F1015" s="5"/>
      <c r="G1015" s="2"/>
      <c r="H1015" s="48"/>
    </row>
    <row r="1016" spans="1:8" ht="13.8">
      <c r="A1016" s="29"/>
      <c r="B1016" s="62"/>
      <c r="C1016" s="61"/>
      <c r="D1016" s="5"/>
      <c r="E1016" s="5"/>
      <c r="F1016" s="5"/>
      <c r="G1016" s="2"/>
      <c r="H1016" s="48"/>
    </row>
    <row r="1017" spans="1:8" ht="13.8">
      <c r="A1017" s="29"/>
      <c r="B1017" s="62"/>
      <c r="C1017" s="61"/>
      <c r="D1017" s="5"/>
      <c r="E1017" s="5"/>
      <c r="F1017" s="5"/>
      <c r="G1017" s="2"/>
      <c r="H1017" s="48"/>
    </row>
    <row r="1018" spans="1:8" ht="13.8">
      <c r="A1018" s="29"/>
      <c r="B1018" s="62"/>
      <c r="C1018" s="61"/>
      <c r="D1018" s="5"/>
      <c r="E1018" s="5"/>
      <c r="F1018" s="5"/>
      <c r="G1018" s="2"/>
      <c r="H1018" s="48"/>
    </row>
    <row r="1019" spans="1:8" ht="13.8">
      <c r="A1019" s="29"/>
      <c r="B1019" s="62"/>
      <c r="C1019" s="61"/>
      <c r="D1019" s="5"/>
      <c r="E1019" s="5"/>
      <c r="F1019" s="5"/>
      <c r="G1019" s="2"/>
      <c r="H1019" s="48"/>
    </row>
    <row r="1020" spans="1:8" ht="13.8">
      <c r="A1020" s="29"/>
      <c r="B1020" s="62"/>
      <c r="C1020" s="61"/>
      <c r="D1020" s="5"/>
      <c r="E1020" s="5"/>
      <c r="F1020" s="5"/>
      <c r="G1020" s="2"/>
      <c r="H1020" s="48"/>
    </row>
    <row r="1021" spans="1:8" ht="13.8">
      <c r="A1021" s="29"/>
      <c r="B1021" s="62"/>
      <c r="C1021" s="61"/>
      <c r="D1021" s="5"/>
      <c r="E1021" s="5"/>
      <c r="F1021" s="5"/>
      <c r="G1021" s="2"/>
      <c r="H1021" s="48"/>
    </row>
    <row r="1022" spans="1:8" ht="13.8">
      <c r="A1022" s="29"/>
      <c r="B1022" s="62"/>
      <c r="C1022" s="61"/>
      <c r="D1022" s="5"/>
      <c r="E1022" s="5"/>
      <c r="F1022" s="5"/>
      <c r="G1022" s="2"/>
      <c r="H1022" s="48"/>
    </row>
    <row r="1023" spans="1:8" ht="13.8">
      <c r="A1023" s="29"/>
      <c r="B1023" s="62"/>
      <c r="C1023" s="61"/>
      <c r="D1023" s="5"/>
      <c r="E1023" s="5"/>
      <c r="F1023" s="5"/>
      <c r="G1023" s="2"/>
      <c r="H1023" s="48"/>
    </row>
    <row r="1024" spans="1:8" ht="13.8">
      <c r="A1024" s="29"/>
      <c r="B1024" s="62"/>
      <c r="C1024" s="61"/>
      <c r="D1024" s="5"/>
      <c r="E1024" s="5"/>
      <c r="F1024" s="5"/>
      <c r="G1024" s="2"/>
      <c r="H1024" s="48"/>
    </row>
    <row r="1025" spans="1:8" ht="13.8">
      <c r="A1025" s="29"/>
      <c r="B1025" s="62"/>
      <c r="C1025" s="61"/>
      <c r="D1025" s="5"/>
      <c r="E1025" s="5"/>
      <c r="F1025" s="5"/>
      <c r="G1025" s="2"/>
      <c r="H1025" s="48"/>
    </row>
    <row r="1026" spans="1:8" ht="13.8">
      <c r="A1026" s="29"/>
      <c r="B1026" s="62"/>
      <c r="C1026" s="61"/>
      <c r="D1026" s="5"/>
      <c r="E1026" s="5"/>
      <c r="F1026" s="5"/>
      <c r="G1026" s="2"/>
      <c r="H1026" s="48"/>
    </row>
    <row r="1027" spans="1:8" ht="13.8">
      <c r="A1027" s="29"/>
      <c r="B1027" s="62"/>
      <c r="C1027" s="61"/>
      <c r="D1027" s="5"/>
      <c r="E1027" s="5"/>
      <c r="F1027" s="5"/>
      <c r="G1027" s="2"/>
      <c r="H1027" s="48"/>
    </row>
    <row r="1028" spans="1:8" ht="13.8">
      <c r="A1028" s="29"/>
      <c r="B1028" s="62"/>
      <c r="C1028" s="61"/>
      <c r="D1028" s="5"/>
      <c r="E1028" s="5"/>
      <c r="F1028" s="5"/>
      <c r="G1028" s="2"/>
      <c r="H1028" s="48"/>
    </row>
    <row r="1029" spans="1:8" ht="13.8">
      <c r="A1029" s="29"/>
      <c r="B1029" s="62"/>
      <c r="C1029" s="61"/>
      <c r="D1029" s="5"/>
      <c r="E1029" s="5"/>
      <c r="F1029" s="5"/>
      <c r="G1029" s="2"/>
      <c r="H1029" s="48"/>
    </row>
    <row r="1030" spans="1:8" ht="13.8">
      <c r="A1030" s="29"/>
      <c r="B1030" s="62"/>
      <c r="C1030" s="61"/>
      <c r="D1030" s="5"/>
      <c r="E1030" s="5"/>
      <c r="F1030" s="5"/>
      <c r="G1030" s="2"/>
      <c r="H1030" s="48"/>
    </row>
    <row r="1031" spans="1:8" ht="13.8">
      <c r="A1031" s="29"/>
      <c r="B1031" s="62"/>
      <c r="C1031" s="61"/>
      <c r="D1031" s="5"/>
      <c r="E1031" s="5"/>
      <c r="F1031" s="5"/>
      <c r="G1031" s="2"/>
      <c r="H1031" s="48"/>
    </row>
    <row r="1032" spans="1:8" ht="13.8">
      <c r="A1032" s="29"/>
      <c r="B1032" s="62"/>
      <c r="C1032" s="61"/>
      <c r="D1032" s="5"/>
      <c r="E1032" s="5"/>
      <c r="F1032" s="5"/>
      <c r="G1032" s="2"/>
      <c r="H1032" s="48"/>
    </row>
    <row r="1033" spans="1:8" ht="13.8">
      <c r="A1033" s="29"/>
      <c r="B1033" s="62"/>
      <c r="C1033" s="61"/>
      <c r="D1033" s="5"/>
      <c r="E1033" s="5"/>
      <c r="F1033" s="5"/>
      <c r="G1033" s="2"/>
      <c r="H1033" s="48"/>
    </row>
    <row r="1034" spans="1:8" ht="13.8">
      <c r="A1034" s="29"/>
      <c r="B1034" s="62"/>
      <c r="C1034" s="61"/>
      <c r="D1034" s="5"/>
      <c r="E1034" s="5"/>
      <c r="F1034" s="5"/>
      <c r="G1034" s="2"/>
      <c r="H1034" s="48"/>
    </row>
    <row r="1035" spans="1:8" ht="13.8">
      <c r="A1035" s="29"/>
      <c r="B1035" s="62"/>
      <c r="C1035" s="61"/>
      <c r="D1035" s="5"/>
      <c r="E1035" s="5"/>
      <c r="F1035" s="5"/>
      <c r="G1035" s="2"/>
      <c r="H1035" s="48"/>
    </row>
    <row r="1036" spans="1:8" ht="13.8">
      <c r="A1036" s="29"/>
      <c r="B1036" s="62"/>
      <c r="C1036" s="61"/>
      <c r="D1036" s="5"/>
      <c r="E1036" s="5"/>
      <c r="F1036" s="5"/>
      <c r="G1036" s="2"/>
      <c r="H1036" s="48"/>
    </row>
    <row r="1037" spans="1:8" ht="13.8">
      <c r="A1037" s="29"/>
      <c r="B1037" s="62"/>
      <c r="C1037" s="61"/>
      <c r="D1037" s="5"/>
      <c r="E1037" s="5"/>
      <c r="F1037" s="5"/>
      <c r="G1037" s="2"/>
      <c r="H1037" s="48"/>
    </row>
    <row r="1038" spans="1:8" ht="13.8">
      <c r="A1038" s="29"/>
      <c r="B1038" s="62"/>
      <c r="C1038" s="61"/>
      <c r="D1038" s="5"/>
      <c r="E1038" s="5"/>
      <c r="F1038" s="5"/>
      <c r="G1038" s="2"/>
      <c r="H1038" s="48"/>
    </row>
    <row r="1039" spans="1:8" ht="13.8">
      <c r="A1039" s="29"/>
      <c r="B1039" s="62"/>
      <c r="C1039" s="61"/>
      <c r="D1039" s="5"/>
      <c r="E1039" s="5"/>
      <c r="F1039" s="5"/>
      <c r="G1039" s="2"/>
      <c r="H1039" s="48"/>
    </row>
    <row r="1040" spans="1:8" ht="13.8">
      <c r="A1040" s="29"/>
      <c r="B1040" s="62"/>
      <c r="C1040" s="61"/>
      <c r="D1040" s="5"/>
      <c r="E1040" s="5"/>
      <c r="F1040" s="5"/>
      <c r="G1040" s="2"/>
      <c r="H1040" s="48"/>
    </row>
    <row r="1041" spans="1:8" ht="13.8">
      <c r="A1041" s="29"/>
      <c r="B1041" s="62"/>
      <c r="C1041" s="61"/>
      <c r="D1041" s="5"/>
      <c r="E1041" s="5"/>
      <c r="F1041" s="5"/>
      <c r="G1041" s="2"/>
      <c r="H1041" s="48"/>
    </row>
    <row r="1042" spans="1:8" ht="13.8">
      <c r="A1042" s="29"/>
      <c r="B1042" s="62"/>
      <c r="C1042" s="61"/>
      <c r="D1042" s="5"/>
      <c r="E1042" s="5"/>
      <c r="F1042" s="5"/>
      <c r="G1042" s="2"/>
      <c r="H1042" s="48"/>
    </row>
    <row r="1043" spans="1:8" ht="13.8">
      <c r="A1043" s="29"/>
      <c r="B1043" s="62"/>
      <c r="C1043" s="61"/>
      <c r="D1043" s="5"/>
      <c r="E1043" s="5"/>
      <c r="F1043" s="5"/>
      <c r="G1043" s="2"/>
      <c r="H1043" s="48"/>
    </row>
    <row r="1044" spans="1:8" ht="13.8">
      <c r="A1044" s="29"/>
      <c r="B1044" s="62"/>
      <c r="C1044" s="61"/>
      <c r="D1044" s="5"/>
      <c r="E1044" s="5"/>
      <c r="F1044" s="5"/>
      <c r="G1044" s="2"/>
      <c r="H1044" s="48"/>
    </row>
    <row r="1045" spans="1:8" ht="13.8">
      <c r="A1045" s="29"/>
      <c r="B1045" s="62"/>
      <c r="C1045" s="61"/>
      <c r="D1045" s="5"/>
      <c r="E1045" s="5"/>
      <c r="F1045" s="5"/>
      <c r="G1045" s="2"/>
      <c r="H1045" s="48"/>
    </row>
    <row r="1046" spans="1:8" ht="13.8">
      <c r="A1046" s="29"/>
      <c r="B1046" s="62"/>
      <c r="C1046" s="61"/>
      <c r="D1046" s="5"/>
      <c r="E1046" s="5"/>
      <c r="F1046" s="5"/>
      <c r="G1046" s="2"/>
      <c r="H1046" s="48"/>
    </row>
    <row r="1047" spans="1:8" ht="13.8">
      <c r="A1047" s="29"/>
      <c r="B1047" s="62"/>
      <c r="C1047" s="61"/>
      <c r="D1047" s="5"/>
      <c r="E1047" s="5"/>
      <c r="F1047" s="5"/>
      <c r="G1047" s="2"/>
      <c r="H1047" s="48"/>
    </row>
    <row r="1048" spans="1:8" ht="13.8">
      <c r="A1048" s="29"/>
      <c r="B1048" s="62"/>
      <c r="C1048" s="61"/>
      <c r="D1048" s="5"/>
      <c r="E1048" s="5"/>
      <c r="F1048" s="5"/>
      <c r="G1048" s="2"/>
      <c r="H1048" s="48"/>
    </row>
    <row r="1049" spans="1:8" ht="13.8">
      <c r="A1049" s="29"/>
      <c r="B1049" s="62"/>
      <c r="C1049" s="61"/>
      <c r="D1049" s="5"/>
      <c r="E1049" s="5"/>
      <c r="F1049" s="5"/>
      <c r="G1049" s="2"/>
      <c r="H1049" s="48"/>
    </row>
    <row r="1050" spans="1:8" ht="13.8">
      <c r="A1050" s="29"/>
      <c r="B1050" s="62"/>
      <c r="C1050" s="61"/>
      <c r="D1050" s="5"/>
      <c r="E1050" s="5"/>
      <c r="F1050" s="5"/>
      <c r="G1050" s="2"/>
      <c r="H1050" s="48"/>
    </row>
    <row r="1051" spans="1:8" ht="13.8">
      <c r="A1051" s="29"/>
      <c r="B1051" s="62"/>
      <c r="C1051" s="61"/>
      <c r="D1051" s="5"/>
      <c r="E1051" s="5"/>
      <c r="F1051" s="5"/>
      <c r="G1051" s="2"/>
      <c r="H1051" s="48"/>
    </row>
    <row r="1052" spans="1:8" ht="13.8">
      <c r="A1052" s="29"/>
      <c r="B1052" s="62"/>
      <c r="C1052" s="61"/>
      <c r="D1052" s="5"/>
      <c r="E1052" s="5"/>
      <c r="F1052" s="5"/>
      <c r="G1052" s="2"/>
      <c r="H1052" s="48"/>
    </row>
    <row r="1053" spans="1:8" ht="13.8">
      <c r="A1053" s="29"/>
      <c r="B1053" s="62"/>
      <c r="C1053" s="61"/>
      <c r="D1053" s="5"/>
      <c r="E1053" s="5"/>
      <c r="F1053" s="5"/>
      <c r="G1053" s="2"/>
      <c r="H1053" s="48"/>
    </row>
    <row r="1054" spans="1:8" ht="13.8">
      <c r="A1054" s="29"/>
      <c r="B1054" s="62"/>
      <c r="C1054" s="61"/>
      <c r="D1054" s="5"/>
      <c r="E1054" s="5"/>
      <c r="F1054" s="5"/>
      <c r="G1054" s="2"/>
      <c r="H1054" s="48"/>
    </row>
    <row r="1055" spans="1:8" ht="13.8">
      <c r="A1055" s="29"/>
      <c r="B1055" s="62"/>
      <c r="C1055" s="61"/>
      <c r="D1055" s="5"/>
      <c r="E1055" s="5"/>
      <c r="F1055" s="5"/>
      <c r="G1055" s="111"/>
      <c r="H1055" s="48"/>
    </row>
    <row r="1056" spans="1:8" ht="13.8">
      <c r="A1056" s="29"/>
      <c r="B1056" s="62"/>
      <c r="C1056" s="61"/>
      <c r="D1056" s="5"/>
      <c r="E1056" s="5"/>
      <c r="F1056" s="5"/>
      <c r="G1056" s="111"/>
      <c r="H1056" s="48"/>
    </row>
    <row r="1057" spans="1:8" ht="13.8">
      <c r="A1057" s="29"/>
      <c r="B1057" s="62"/>
      <c r="C1057" s="61"/>
      <c r="D1057" s="5"/>
      <c r="E1057" s="5"/>
      <c r="F1057" s="5"/>
      <c r="G1057" s="111"/>
      <c r="H1057" s="48"/>
    </row>
    <row r="1058" spans="1:8" ht="13.8">
      <c r="A1058" s="29"/>
      <c r="B1058" s="62"/>
      <c r="C1058" s="61"/>
      <c r="D1058" s="5"/>
      <c r="E1058" s="5"/>
      <c r="F1058" s="5"/>
      <c r="G1058" s="111"/>
      <c r="H1058" s="48"/>
    </row>
    <row r="1059" spans="1:8" ht="13.8">
      <c r="A1059" s="29"/>
      <c r="B1059" s="62"/>
      <c r="C1059" s="61"/>
      <c r="D1059" s="5"/>
      <c r="E1059" s="5"/>
      <c r="F1059" s="5"/>
      <c r="G1059" s="111"/>
      <c r="H1059" s="48"/>
    </row>
    <row r="1060" spans="1:8" ht="13.8">
      <c r="A1060" s="29"/>
      <c r="B1060" s="62"/>
      <c r="C1060" s="61"/>
      <c r="D1060" s="5"/>
      <c r="E1060" s="5"/>
      <c r="F1060" s="5"/>
      <c r="G1060" s="111"/>
      <c r="H1060" s="48"/>
    </row>
    <row r="1061" spans="1:8" ht="13.8">
      <c r="A1061" s="29"/>
      <c r="B1061" s="62"/>
      <c r="C1061" s="61"/>
      <c r="D1061" s="5"/>
      <c r="E1061" s="5"/>
      <c r="F1061" s="5"/>
      <c r="G1061" s="111"/>
      <c r="H1061" s="48"/>
    </row>
    <row r="1062" spans="1:8" ht="13.8">
      <c r="A1062" s="29"/>
      <c r="B1062" s="62"/>
      <c r="C1062" s="61"/>
      <c r="D1062" s="5"/>
      <c r="E1062" s="5"/>
      <c r="F1062" s="5"/>
      <c r="G1062" s="111"/>
      <c r="H1062" s="48"/>
    </row>
    <row r="1063" spans="1:8" ht="13.8">
      <c r="A1063" s="29"/>
      <c r="B1063" s="62"/>
      <c r="C1063" s="61"/>
      <c r="D1063" s="5"/>
      <c r="E1063" s="5"/>
      <c r="F1063" s="5"/>
      <c r="G1063" s="111"/>
      <c r="H1063" s="48"/>
    </row>
    <row r="1064" spans="1:8" ht="13.8">
      <c r="A1064" s="29"/>
      <c r="B1064" s="62"/>
      <c r="C1064" s="61"/>
      <c r="D1064" s="5"/>
      <c r="E1064" s="5"/>
      <c r="F1064" s="5"/>
      <c r="G1064" s="111"/>
      <c r="H1064" s="48"/>
    </row>
    <row r="1065" spans="1:8" ht="13.8">
      <c r="A1065" s="29"/>
      <c r="B1065" s="62"/>
      <c r="C1065" s="61"/>
      <c r="D1065" s="5"/>
      <c r="E1065" s="5"/>
      <c r="F1065" s="5"/>
      <c r="G1065" s="111"/>
      <c r="H1065" s="48"/>
    </row>
    <row r="1066" spans="1:8" ht="13.8">
      <c r="A1066" s="29"/>
      <c r="B1066" s="62"/>
      <c r="C1066" s="61"/>
      <c r="D1066" s="5"/>
      <c r="E1066" s="5"/>
      <c r="F1066" s="5"/>
      <c r="G1066" s="111"/>
      <c r="H1066" s="48"/>
    </row>
    <row r="1067" spans="1:8" ht="13.8">
      <c r="A1067" s="29"/>
      <c r="B1067" s="62"/>
      <c r="C1067" s="61"/>
      <c r="D1067" s="5"/>
      <c r="E1067" s="5"/>
      <c r="F1067" s="5"/>
      <c r="G1067" s="111"/>
      <c r="H1067" s="48"/>
    </row>
    <row r="1068" spans="1:8" ht="13.8">
      <c r="A1068" s="29"/>
      <c r="B1068" s="62"/>
      <c r="C1068" s="61"/>
      <c r="D1068" s="5"/>
      <c r="E1068" s="5"/>
      <c r="F1068" s="5"/>
      <c r="G1068" s="111"/>
      <c r="H1068" s="48"/>
    </row>
    <row r="1069" spans="1:8" ht="13.8">
      <c r="A1069" s="29"/>
      <c r="B1069" s="62"/>
      <c r="C1069" s="61"/>
      <c r="D1069" s="5"/>
      <c r="E1069" s="5"/>
      <c r="F1069" s="5"/>
      <c r="G1069" s="111"/>
      <c r="H1069" s="48"/>
    </row>
    <row r="1070" spans="1:8" ht="13.8">
      <c r="A1070" s="29"/>
      <c r="B1070" s="62"/>
      <c r="C1070" s="61"/>
      <c r="D1070" s="5"/>
      <c r="E1070" s="5"/>
      <c r="F1070" s="5"/>
      <c r="G1070" s="111"/>
      <c r="H1070" s="48"/>
    </row>
    <row r="1071" spans="1:8" ht="13.8">
      <c r="A1071" s="29"/>
      <c r="B1071" s="62"/>
      <c r="C1071" s="61"/>
      <c r="D1071" s="5"/>
      <c r="E1071" s="5"/>
      <c r="F1071" s="5"/>
      <c r="G1071" s="111"/>
      <c r="H1071" s="48"/>
    </row>
    <row r="1072" spans="1:8" ht="13.8">
      <c r="A1072" s="29"/>
      <c r="B1072" s="62"/>
      <c r="C1072" s="61"/>
      <c r="D1072" s="5"/>
      <c r="E1072" s="5"/>
      <c r="F1072" s="5"/>
      <c r="G1072" s="111"/>
      <c r="H1072" s="48"/>
    </row>
    <row r="1073" spans="1:8" ht="13.8">
      <c r="A1073" s="29"/>
      <c r="B1073" s="62"/>
      <c r="C1073" s="61"/>
      <c r="D1073" s="5"/>
      <c r="E1073" s="5"/>
      <c r="F1073" s="5"/>
      <c r="G1073" s="111"/>
      <c r="H1073" s="48"/>
    </row>
    <row r="1074" spans="1:8" ht="13.8">
      <c r="A1074" s="29"/>
      <c r="B1074" s="62"/>
      <c r="C1074" s="61"/>
      <c r="D1074" s="5"/>
      <c r="E1074" s="5"/>
      <c r="F1074" s="5"/>
      <c r="G1074" s="111"/>
      <c r="H1074" s="48"/>
    </row>
    <row r="1075" spans="1:8" ht="13.8">
      <c r="A1075" s="29"/>
      <c r="B1075" s="62"/>
      <c r="C1075" s="61"/>
      <c r="D1075" s="5"/>
      <c r="E1075" s="5"/>
      <c r="F1075" s="5"/>
      <c r="G1075" s="111"/>
      <c r="H1075" s="48"/>
    </row>
    <row r="1076" spans="1:8" ht="13.8">
      <c r="A1076" s="29"/>
      <c r="B1076" s="62"/>
      <c r="C1076" s="61"/>
      <c r="D1076" s="5"/>
      <c r="E1076" s="5"/>
      <c r="F1076" s="5"/>
      <c r="G1076" s="111"/>
      <c r="H1076" s="48"/>
    </row>
    <row r="1077" spans="1:8" ht="13.8">
      <c r="A1077" s="29"/>
      <c r="B1077" s="62"/>
      <c r="C1077" s="61"/>
      <c r="D1077" s="5"/>
      <c r="E1077" s="5"/>
      <c r="F1077" s="5"/>
      <c r="G1077" s="111"/>
      <c r="H1077" s="48"/>
    </row>
    <row r="1078" spans="1:8" ht="13.8">
      <c r="A1078" s="29"/>
      <c r="B1078" s="62"/>
      <c r="C1078" s="61"/>
      <c r="D1078" s="5"/>
      <c r="E1078" s="5"/>
      <c r="F1078" s="5"/>
      <c r="G1078" s="111"/>
      <c r="H1078" s="48"/>
    </row>
    <row r="1079" spans="1:8" ht="13.8">
      <c r="A1079" s="29"/>
      <c r="B1079" s="62"/>
      <c r="C1079" s="61"/>
      <c r="D1079" s="5"/>
      <c r="E1079" s="5"/>
      <c r="F1079" s="5"/>
      <c r="G1079" s="111"/>
      <c r="H1079" s="48"/>
    </row>
    <row r="1080" spans="1:8" ht="13.8">
      <c r="A1080" s="29"/>
      <c r="B1080" s="62"/>
      <c r="C1080" s="61"/>
      <c r="D1080" s="5"/>
      <c r="E1080" s="5"/>
      <c r="F1080" s="5"/>
      <c r="G1080" s="111"/>
      <c r="H1080" s="48"/>
    </row>
    <row r="1081" spans="1:8" ht="13.8">
      <c r="A1081" s="29"/>
      <c r="B1081" s="62"/>
      <c r="C1081" s="61"/>
      <c r="D1081" s="5"/>
      <c r="E1081" s="5"/>
      <c r="F1081" s="5"/>
      <c r="G1081" s="111"/>
      <c r="H1081" s="48"/>
    </row>
    <row r="1082" spans="1:8" ht="13.8">
      <c r="A1082" s="29"/>
      <c r="B1082" s="62"/>
      <c r="C1082" s="61"/>
      <c r="D1082" s="5"/>
      <c r="E1082" s="5"/>
      <c r="F1082" s="5"/>
      <c r="G1082" s="111"/>
      <c r="H1082" s="48"/>
    </row>
    <row r="1083" spans="1:8" ht="13.8">
      <c r="A1083" s="29"/>
      <c r="B1083" s="62"/>
      <c r="C1083" s="61"/>
      <c r="D1083" s="5"/>
      <c r="E1083" s="5"/>
      <c r="F1083" s="5"/>
      <c r="G1083" s="111"/>
      <c r="H1083" s="48"/>
    </row>
    <row r="1084" spans="1:8" ht="13.8">
      <c r="A1084" s="29"/>
      <c r="B1084" s="62"/>
      <c r="C1084" s="61"/>
      <c r="D1084" s="5"/>
      <c r="E1084" s="5"/>
      <c r="F1084" s="5"/>
      <c r="G1084" s="111"/>
      <c r="H1084" s="48"/>
    </row>
    <row r="1085" spans="1:8" ht="13.8">
      <c r="A1085" s="29"/>
      <c r="B1085" s="62"/>
      <c r="C1085" s="61"/>
      <c r="D1085" s="5"/>
      <c r="E1085" s="5"/>
      <c r="F1085" s="5"/>
      <c r="G1085" s="111"/>
      <c r="H1085" s="48"/>
    </row>
    <row r="1086" spans="1:8" ht="13.8">
      <c r="A1086" s="29"/>
      <c r="B1086" s="62"/>
      <c r="C1086" s="61"/>
      <c r="D1086" s="5"/>
      <c r="E1086" s="5"/>
      <c r="F1086" s="5"/>
      <c r="G1086" s="111"/>
      <c r="H1086" s="48"/>
    </row>
    <row r="1087" spans="1:8" ht="13.8">
      <c r="A1087" s="29"/>
      <c r="B1087" s="62"/>
      <c r="C1087" s="61"/>
      <c r="D1087" s="5"/>
      <c r="E1087" s="5"/>
      <c r="F1087" s="5"/>
      <c r="G1087" s="111"/>
      <c r="H1087" s="48"/>
    </row>
    <row r="1088" spans="1:8" ht="13.8">
      <c r="A1088" s="29"/>
      <c r="B1088" s="62"/>
      <c r="C1088" s="61"/>
      <c r="D1088" s="5"/>
      <c r="E1088" s="5"/>
      <c r="F1088" s="5"/>
      <c r="G1088" s="111"/>
      <c r="H1088" s="48"/>
    </row>
    <row r="1089" spans="1:8" ht="13.8">
      <c r="A1089" s="29"/>
      <c r="B1089" s="62"/>
      <c r="C1089" s="61"/>
      <c r="D1089" s="5"/>
      <c r="E1089" s="5"/>
      <c r="F1089" s="5"/>
      <c r="G1089" s="111"/>
      <c r="H1089" s="48"/>
    </row>
    <row r="1090" spans="1:8" ht="13.8">
      <c r="A1090" s="29"/>
      <c r="B1090" s="62"/>
      <c r="C1090" s="61"/>
      <c r="D1090" s="5"/>
      <c r="E1090" s="5"/>
      <c r="F1090" s="5"/>
      <c r="G1090" s="111"/>
      <c r="H1090" s="48"/>
    </row>
    <row r="1091" spans="1:8" ht="13.8">
      <c r="A1091" s="29"/>
      <c r="B1091" s="62"/>
      <c r="C1091" s="61"/>
      <c r="D1091" s="5"/>
      <c r="E1091" s="5"/>
      <c r="F1091" s="5"/>
      <c r="G1091" s="111"/>
      <c r="H1091" s="48"/>
    </row>
    <row r="1092" spans="1:8" ht="13.8">
      <c r="A1092" s="29"/>
      <c r="B1092" s="62"/>
      <c r="C1092" s="61"/>
      <c r="D1092" s="5"/>
      <c r="E1092" s="5"/>
      <c r="F1092" s="5"/>
      <c r="G1092" s="111"/>
      <c r="H1092" s="48"/>
    </row>
    <row r="1093" spans="1:8" ht="13.8">
      <c r="A1093" s="29"/>
      <c r="B1093" s="62"/>
      <c r="C1093" s="61"/>
      <c r="D1093" s="5"/>
      <c r="E1093" s="5"/>
      <c r="F1093" s="5"/>
      <c r="G1093" s="111"/>
      <c r="H1093" s="48"/>
    </row>
    <row r="1094" spans="1:8" ht="13.8">
      <c r="A1094" s="29"/>
      <c r="B1094" s="62"/>
      <c r="C1094" s="61"/>
      <c r="D1094" s="5"/>
      <c r="E1094" s="5"/>
      <c r="F1094" s="5"/>
      <c r="G1094" s="111"/>
      <c r="H1094" s="48"/>
    </row>
    <row r="1095" spans="1:8" ht="13.8">
      <c r="A1095" s="29"/>
      <c r="B1095" s="62"/>
      <c r="C1095" s="61"/>
      <c r="D1095" s="5"/>
      <c r="E1095" s="5"/>
      <c r="F1095" s="5"/>
      <c r="G1095" s="111"/>
      <c r="H1095" s="48"/>
    </row>
    <row r="1096" spans="1:8" ht="13.8">
      <c r="A1096" s="29"/>
      <c r="B1096" s="62"/>
      <c r="C1096" s="61"/>
      <c r="D1096" s="5"/>
      <c r="E1096" s="5"/>
      <c r="F1096" s="5"/>
      <c r="G1096" s="111"/>
      <c r="H1096" s="48"/>
    </row>
    <row r="1097" spans="1:8" ht="13.8">
      <c r="A1097" s="29"/>
      <c r="B1097" s="62"/>
      <c r="C1097" s="61"/>
      <c r="D1097" s="5"/>
      <c r="E1097" s="5"/>
      <c r="F1097" s="5"/>
      <c r="G1097" s="111"/>
      <c r="H1097" s="48"/>
    </row>
    <row r="1098" spans="1:8" ht="13.8">
      <c r="A1098" s="29"/>
      <c r="B1098" s="62"/>
      <c r="C1098" s="61"/>
      <c r="D1098" s="5"/>
      <c r="E1098" s="5"/>
      <c r="F1098" s="5"/>
      <c r="G1098" s="111"/>
      <c r="H1098" s="48"/>
    </row>
    <row r="1099" spans="1:8" ht="13.8">
      <c r="A1099" s="29"/>
      <c r="B1099" s="62"/>
      <c r="C1099" s="61"/>
      <c r="D1099" s="5"/>
      <c r="E1099" s="5"/>
      <c r="F1099" s="5"/>
      <c r="G1099" s="111"/>
      <c r="H1099" s="48"/>
    </row>
    <row r="1100" spans="1:8" ht="13.8">
      <c r="A1100" s="29"/>
      <c r="B1100" s="62"/>
      <c r="C1100" s="61"/>
      <c r="D1100" s="5"/>
      <c r="E1100" s="5"/>
      <c r="F1100" s="5"/>
      <c r="G1100" s="111"/>
      <c r="H1100" s="48"/>
    </row>
    <row r="1101" spans="1:8" ht="13.8">
      <c r="A1101" s="29"/>
      <c r="B1101" s="62"/>
      <c r="C1101" s="61"/>
      <c r="D1101" s="5"/>
      <c r="E1101" s="5"/>
      <c r="F1101" s="5"/>
      <c r="G1101" s="111"/>
      <c r="H1101" s="48"/>
    </row>
    <row r="1102" spans="1:8" ht="13.8">
      <c r="A1102" s="29"/>
      <c r="B1102" s="62"/>
      <c r="C1102" s="61"/>
      <c r="D1102" s="5"/>
      <c r="E1102" s="5"/>
      <c r="F1102" s="5"/>
      <c r="G1102" s="111"/>
      <c r="H1102" s="48"/>
    </row>
    <row r="1103" spans="1:8" ht="13.8">
      <c r="A1103" s="29"/>
      <c r="B1103" s="62"/>
      <c r="C1103" s="61"/>
      <c r="D1103" s="5"/>
      <c r="E1103" s="5"/>
      <c r="F1103" s="5"/>
      <c r="G1103" s="111"/>
      <c r="H1103" s="48"/>
    </row>
    <row r="1104" spans="1:8" ht="13.8">
      <c r="A1104" s="29"/>
      <c r="B1104" s="62"/>
      <c r="C1104" s="61"/>
      <c r="D1104" s="5"/>
      <c r="E1104" s="5"/>
      <c r="F1104" s="5"/>
      <c r="G1104" s="111"/>
      <c r="H1104" s="48"/>
    </row>
    <row r="1105" spans="1:8" ht="13.8">
      <c r="A1105" s="29"/>
      <c r="B1105" s="62"/>
      <c r="C1105" s="61"/>
      <c r="D1105" s="5"/>
      <c r="E1105" s="5"/>
      <c r="F1105" s="5"/>
      <c r="G1105" s="111"/>
      <c r="H1105" s="48"/>
    </row>
    <row r="1106" spans="1:8" ht="13.8">
      <c r="A1106" s="29"/>
      <c r="B1106" s="62"/>
      <c r="C1106" s="61"/>
      <c r="D1106" s="5"/>
      <c r="E1106" s="5"/>
      <c r="F1106" s="5"/>
      <c r="G1106" s="111"/>
      <c r="H1106" s="48"/>
    </row>
    <row r="1107" spans="1:8" ht="13.8">
      <c r="A1107" s="29"/>
      <c r="B1107" s="62"/>
      <c r="C1107" s="61"/>
      <c r="D1107" s="5"/>
      <c r="E1107" s="5"/>
      <c r="F1107" s="5"/>
      <c r="G1107" s="111"/>
      <c r="H1107" s="48"/>
    </row>
    <row r="1108" spans="1:8" ht="13.8">
      <c r="A1108" s="29"/>
      <c r="B1108" s="62"/>
      <c r="C1108" s="61"/>
      <c r="D1108" s="5"/>
      <c r="E1108" s="5"/>
      <c r="F1108" s="5"/>
      <c r="G1108" s="111"/>
      <c r="H1108" s="48"/>
    </row>
    <row r="1109" spans="1:8" ht="13.8">
      <c r="A1109" s="29"/>
      <c r="B1109" s="62"/>
      <c r="C1109" s="61"/>
      <c r="D1109" s="5"/>
      <c r="E1109" s="5"/>
      <c r="F1109" s="5"/>
      <c r="G1109" s="111"/>
      <c r="H1109" s="48"/>
    </row>
    <row r="1110" spans="1:8" ht="13.8">
      <c r="A1110" s="29"/>
      <c r="B1110" s="62"/>
      <c r="C1110" s="61"/>
      <c r="D1110" s="5"/>
      <c r="E1110" s="5"/>
      <c r="F1110" s="5"/>
      <c r="G1110" s="111"/>
      <c r="H1110" s="48"/>
    </row>
    <row r="1111" spans="1:8" ht="13.8">
      <c r="A1111" s="29"/>
      <c r="B1111" s="62"/>
      <c r="C1111" s="61"/>
      <c r="D1111" s="5"/>
      <c r="E1111" s="5"/>
      <c r="F1111" s="5"/>
      <c r="G1111" s="111"/>
      <c r="H1111" s="48"/>
    </row>
    <row r="1112" spans="1:8" ht="13.8">
      <c r="A1112" s="29"/>
      <c r="B1112" s="62"/>
      <c r="C1112" s="61"/>
      <c r="D1112" s="5"/>
      <c r="E1112" s="5"/>
      <c r="F1112" s="5"/>
      <c r="G1112" s="111"/>
      <c r="H1112" s="48"/>
    </row>
    <row r="1113" spans="1:8" ht="13.8">
      <c r="A1113" s="29"/>
      <c r="B1113" s="62"/>
      <c r="C1113" s="61"/>
      <c r="D1113" s="5"/>
      <c r="E1113" s="5"/>
      <c r="F1113" s="5"/>
      <c r="G1113" s="111"/>
      <c r="H1113" s="48"/>
    </row>
    <row r="1114" spans="1:8" ht="13.8">
      <c r="A1114" s="29"/>
      <c r="B1114" s="62"/>
      <c r="C1114" s="61"/>
      <c r="D1114" s="5"/>
      <c r="E1114" s="5"/>
      <c r="F1114" s="5"/>
      <c r="G1114" s="111"/>
      <c r="H1114" s="48"/>
    </row>
    <row r="1115" spans="1:8" ht="13.8">
      <c r="A1115" s="29"/>
      <c r="B1115" s="62"/>
      <c r="C1115" s="61"/>
      <c r="D1115" s="5"/>
      <c r="E1115" s="5"/>
      <c r="F1115" s="5"/>
      <c r="G1115" s="111"/>
      <c r="H1115" s="48"/>
    </row>
    <row r="1116" spans="1:8" ht="13.8">
      <c r="A1116" s="29"/>
      <c r="B1116" s="62"/>
      <c r="C1116" s="61"/>
      <c r="D1116" s="5"/>
      <c r="E1116" s="5"/>
      <c r="F1116" s="5"/>
      <c r="G1116" s="111"/>
      <c r="H1116" s="48"/>
    </row>
    <row r="1117" spans="1:8" ht="13.8">
      <c r="A1117" s="29"/>
      <c r="B1117" s="62"/>
      <c r="C1117" s="61"/>
      <c r="D1117" s="5"/>
      <c r="E1117" s="5"/>
      <c r="F1117" s="5"/>
      <c r="G1117" s="111"/>
      <c r="H1117" s="48"/>
    </row>
    <row r="1118" spans="1:8" ht="13.8">
      <c r="A1118" s="29"/>
      <c r="B1118" s="62"/>
      <c r="C1118" s="61"/>
      <c r="D1118" s="5"/>
      <c r="E1118" s="5"/>
      <c r="F1118" s="5"/>
      <c r="G1118" s="111"/>
      <c r="H1118" s="48"/>
    </row>
    <row r="1119" spans="1:8" ht="13.8">
      <c r="A1119" s="29"/>
      <c r="B1119" s="62"/>
      <c r="C1119" s="61"/>
      <c r="D1119" s="5"/>
      <c r="E1119" s="5"/>
      <c r="F1119" s="5"/>
      <c r="G1119" s="111"/>
      <c r="H1119" s="48"/>
    </row>
    <row r="1120" spans="1:8" ht="13.8">
      <c r="A1120" s="29"/>
      <c r="B1120" s="62"/>
      <c r="C1120" s="61"/>
      <c r="D1120" s="5"/>
      <c r="E1120" s="5"/>
      <c r="F1120" s="5"/>
      <c r="G1120" s="111"/>
      <c r="H1120" s="48"/>
    </row>
    <row r="1121" spans="1:8" ht="13.8">
      <c r="A1121" s="29"/>
      <c r="B1121" s="62"/>
      <c r="C1121" s="61"/>
      <c r="D1121" s="5"/>
      <c r="E1121" s="5"/>
      <c r="F1121" s="5"/>
      <c r="G1121" s="111"/>
      <c r="H1121" s="48"/>
    </row>
    <row r="1122" spans="1:8" ht="13.8">
      <c r="A1122" s="29"/>
      <c r="B1122" s="62"/>
      <c r="C1122" s="61"/>
      <c r="D1122" s="5"/>
      <c r="E1122" s="5"/>
      <c r="F1122" s="5"/>
      <c r="G1122" s="111"/>
      <c r="H1122" s="48"/>
    </row>
    <row r="1123" spans="1:8" ht="13.8">
      <c r="A1123" s="29"/>
      <c r="B1123" s="62"/>
      <c r="C1123" s="61"/>
      <c r="D1123" s="5"/>
      <c r="E1123" s="5"/>
      <c r="F1123" s="5"/>
      <c r="G1123" s="111"/>
      <c r="H1123" s="48"/>
    </row>
    <row r="1124" spans="1:8" ht="13.8">
      <c r="A1124" s="29"/>
      <c r="B1124" s="62"/>
      <c r="C1124" s="61"/>
      <c r="D1124" s="5"/>
      <c r="E1124" s="5"/>
      <c r="F1124" s="5"/>
      <c r="G1124" s="111"/>
      <c r="H1124" s="48"/>
    </row>
    <row r="1125" spans="1:8" ht="13.8">
      <c r="A1125" s="29"/>
      <c r="B1125" s="62"/>
      <c r="C1125" s="61"/>
      <c r="D1125" s="5"/>
      <c r="E1125" s="5"/>
      <c r="F1125" s="5"/>
      <c r="G1125" s="111"/>
      <c r="H1125" s="48"/>
    </row>
    <row r="1126" spans="1:8" ht="13.8">
      <c r="A1126" s="29"/>
      <c r="B1126" s="62"/>
      <c r="C1126" s="61"/>
      <c r="D1126" s="5"/>
      <c r="E1126" s="5"/>
      <c r="F1126" s="5"/>
      <c r="G1126" s="111"/>
      <c r="H1126" s="48"/>
    </row>
    <row r="1127" spans="1:8" ht="13.8">
      <c r="A1127" s="29"/>
      <c r="B1127" s="62"/>
      <c r="C1127" s="61"/>
      <c r="D1127" s="5"/>
      <c r="E1127" s="5"/>
      <c r="F1127" s="5"/>
      <c r="G1127" s="111"/>
      <c r="H1127" s="48"/>
    </row>
    <row r="1128" spans="1:8" ht="13.8">
      <c r="A1128" s="29"/>
      <c r="B1128" s="62"/>
      <c r="C1128" s="61"/>
      <c r="D1128" s="5"/>
      <c r="E1128" s="5"/>
      <c r="F1128" s="5"/>
      <c r="G1128" s="111"/>
      <c r="H1128" s="48"/>
    </row>
    <row r="1129" spans="1:8" ht="13.8">
      <c r="A1129" s="29"/>
      <c r="B1129" s="62"/>
      <c r="C1129" s="61"/>
      <c r="D1129" s="5"/>
      <c r="E1129" s="5"/>
      <c r="F1129" s="5"/>
      <c r="G1129" s="111"/>
      <c r="H1129" s="48"/>
    </row>
    <row r="1130" spans="1:8" ht="13.8">
      <c r="A1130" s="29"/>
      <c r="B1130" s="62"/>
      <c r="C1130" s="61"/>
      <c r="D1130" s="5"/>
      <c r="E1130" s="5"/>
      <c r="F1130" s="5"/>
      <c r="G1130" s="111"/>
      <c r="H1130" s="48"/>
    </row>
    <row r="1131" spans="1:8" ht="13.8">
      <c r="A1131" s="29"/>
      <c r="B1131" s="62"/>
      <c r="C1131" s="61"/>
      <c r="D1131" s="5"/>
      <c r="E1131" s="5"/>
      <c r="F1131" s="5"/>
      <c r="G1131" s="111"/>
      <c r="H1131" s="48"/>
    </row>
    <row r="1132" spans="1:8" ht="13.8">
      <c r="A1132" s="29"/>
      <c r="B1132" s="62"/>
      <c r="C1132" s="61"/>
      <c r="D1132" s="5"/>
      <c r="E1132" s="5"/>
      <c r="F1132" s="5"/>
      <c r="G1132" s="111"/>
      <c r="H1132" s="48"/>
    </row>
    <row r="1133" spans="1:8" ht="13.8">
      <c r="A1133" s="29"/>
      <c r="B1133" s="62"/>
      <c r="C1133" s="61"/>
      <c r="D1133" s="5"/>
      <c r="E1133" s="5"/>
      <c r="F1133" s="5"/>
      <c r="G1133" s="111"/>
      <c r="H1133" s="48"/>
    </row>
    <row r="1134" spans="1:8" ht="13.8">
      <c r="A1134" s="29"/>
      <c r="B1134" s="62"/>
      <c r="C1134" s="61"/>
      <c r="D1134" s="5"/>
      <c r="E1134" s="5"/>
      <c r="F1134" s="5"/>
      <c r="G1134" s="111"/>
      <c r="H1134" s="48"/>
    </row>
    <row r="1135" spans="1:8" ht="13.8">
      <c r="A1135" s="29"/>
      <c r="B1135" s="62"/>
      <c r="C1135" s="61"/>
      <c r="D1135" s="5"/>
      <c r="E1135" s="5"/>
      <c r="F1135" s="5"/>
      <c r="G1135" s="111"/>
      <c r="H1135" s="48"/>
    </row>
    <row r="1136" spans="1:8" ht="13.8">
      <c r="A1136" s="29"/>
      <c r="B1136" s="62"/>
      <c r="C1136" s="61"/>
      <c r="D1136" s="5"/>
      <c r="E1136" s="5"/>
      <c r="F1136" s="5"/>
      <c r="G1136" s="111"/>
      <c r="H1136" s="48"/>
    </row>
    <row r="1137" spans="1:8" ht="13.8">
      <c r="A1137" s="29"/>
      <c r="B1137" s="62"/>
      <c r="C1137" s="61"/>
      <c r="D1137" s="5"/>
      <c r="E1137" s="5"/>
      <c r="F1137" s="5"/>
      <c r="G1137" s="111"/>
      <c r="H1137" s="48"/>
    </row>
    <row r="1138" spans="1:8" ht="13.8">
      <c r="A1138" s="29"/>
      <c r="B1138" s="62"/>
      <c r="C1138" s="61"/>
      <c r="D1138" s="5"/>
      <c r="E1138" s="5"/>
      <c r="F1138" s="5"/>
      <c r="G1138" s="111"/>
      <c r="H1138" s="48"/>
    </row>
    <row r="1139" spans="1:8" ht="13.8">
      <c r="A1139" s="29"/>
      <c r="B1139" s="62"/>
      <c r="C1139" s="61"/>
      <c r="D1139" s="5"/>
      <c r="E1139" s="5"/>
      <c r="F1139" s="5"/>
      <c r="G1139" s="111"/>
      <c r="H1139" s="48"/>
    </row>
    <row r="1140" spans="1:8" ht="13.8">
      <c r="A1140" s="29"/>
      <c r="B1140" s="62"/>
      <c r="C1140" s="61"/>
      <c r="D1140" s="5"/>
      <c r="E1140" s="5"/>
      <c r="F1140" s="5"/>
      <c r="G1140" s="111"/>
      <c r="H1140" s="48"/>
    </row>
    <row r="1141" spans="1:8" ht="13.8">
      <c r="A1141" s="29"/>
      <c r="B1141" s="62"/>
      <c r="C1141" s="61"/>
      <c r="D1141" s="5"/>
      <c r="E1141" s="5"/>
      <c r="F1141" s="5"/>
      <c r="G1141" s="111"/>
      <c r="H1141" s="48"/>
    </row>
    <row r="1142" spans="1:8" ht="13.8">
      <c r="A1142" s="29"/>
      <c r="B1142" s="62"/>
      <c r="C1142" s="61"/>
      <c r="D1142" s="5"/>
      <c r="E1142" s="5"/>
      <c r="F1142" s="5"/>
      <c r="G1142" s="111"/>
      <c r="H1142" s="48"/>
    </row>
    <row r="1143" spans="1:8" ht="13.8">
      <c r="A1143" s="29"/>
      <c r="B1143" s="62"/>
      <c r="C1143" s="61"/>
      <c r="D1143" s="5"/>
      <c r="E1143" s="5"/>
      <c r="F1143" s="5"/>
      <c r="G1143" s="111"/>
      <c r="H1143" s="48"/>
    </row>
    <row r="1144" spans="1:8" ht="13.8">
      <c r="A1144" s="29"/>
      <c r="B1144" s="62"/>
      <c r="C1144" s="61"/>
      <c r="D1144" s="5"/>
      <c r="E1144" s="5"/>
      <c r="F1144" s="5"/>
      <c r="G1144" s="111"/>
      <c r="H1144" s="48"/>
    </row>
    <row r="1145" spans="1:8" ht="13.8">
      <c r="A1145" s="29"/>
      <c r="B1145" s="62"/>
      <c r="C1145" s="61"/>
      <c r="D1145" s="5"/>
      <c r="E1145" s="5"/>
      <c r="F1145" s="5"/>
      <c r="G1145" s="111"/>
      <c r="H1145" s="48"/>
    </row>
    <row r="1146" spans="1:8" ht="13.8">
      <c r="A1146" s="29"/>
      <c r="B1146" s="62"/>
      <c r="C1146" s="61"/>
      <c r="D1146" s="5"/>
      <c r="E1146" s="5"/>
      <c r="F1146" s="5"/>
      <c r="G1146" s="111"/>
      <c r="H1146" s="48"/>
    </row>
    <row r="1147" spans="1:8" ht="13.8">
      <c r="A1147" s="29"/>
      <c r="B1147" s="62"/>
      <c r="C1147" s="61"/>
      <c r="D1147" s="5"/>
      <c r="E1147" s="5"/>
      <c r="F1147" s="5"/>
      <c r="G1147" s="111"/>
      <c r="H1147" s="48"/>
    </row>
    <row r="1148" spans="1:8" ht="13.8">
      <c r="A1148" s="29"/>
      <c r="B1148" s="62"/>
      <c r="C1148" s="61"/>
      <c r="D1148" s="5"/>
      <c r="E1148" s="5"/>
      <c r="F1148" s="5"/>
      <c r="G1148" s="111"/>
      <c r="H1148" s="48"/>
    </row>
    <row r="1149" spans="1:8" ht="13.8">
      <c r="A1149" s="29"/>
      <c r="B1149" s="62"/>
      <c r="C1149" s="61"/>
      <c r="D1149" s="5"/>
      <c r="E1149" s="5"/>
      <c r="F1149" s="5"/>
      <c r="G1149" s="111"/>
      <c r="H1149" s="48"/>
    </row>
    <row r="1150" spans="1:8" ht="13.8">
      <c r="A1150" s="29"/>
      <c r="B1150" s="62"/>
      <c r="C1150" s="61"/>
      <c r="D1150" s="5"/>
      <c r="E1150" s="5"/>
      <c r="F1150" s="5"/>
      <c r="G1150" s="111"/>
      <c r="H1150" s="48"/>
    </row>
    <row r="1151" spans="1:8" ht="13.8">
      <c r="A1151" s="29"/>
      <c r="B1151" s="62"/>
      <c r="C1151" s="61"/>
      <c r="D1151" s="5"/>
      <c r="E1151" s="5"/>
      <c r="F1151" s="5"/>
      <c r="G1151" s="111"/>
      <c r="H1151" s="48"/>
    </row>
    <row r="1152" spans="1:8" ht="13.8">
      <c r="A1152" s="29"/>
      <c r="B1152" s="62"/>
      <c r="C1152" s="61"/>
      <c r="D1152" s="5"/>
      <c r="E1152" s="5"/>
      <c r="F1152" s="5"/>
      <c r="G1152" s="111"/>
      <c r="H1152" s="48"/>
    </row>
    <row r="1153" spans="1:8" ht="13.8">
      <c r="A1153" s="29"/>
      <c r="B1153" s="62"/>
      <c r="C1153" s="61"/>
      <c r="D1153" s="5"/>
      <c r="E1153" s="5"/>
      <c r="F1153" s="5"/>
      <c r="G1153" s="111"/>
      <c r="H1153" s="48"/>
    </row>
    <row r="1154" spans="1:8" ht="13.8">
      <c r="A1154" s="29"/>
      <c r="B1154" s="62"/>
      <c r="C1154" s="61"/>
      <c r="D1154" s="5"/>
      <c r="E1154" s="5"/>
      <c r="F1154" s="5"/>
      <c r="G1154" s="111"/>
      <c r="H1154" s="48"/>
    </row>
    <row r="1155" spans="1:8">
      <c r="B1155" s="105"/>
      <c r="C1155" s="112"/>
      <c r="D1155" s="83"/>
      <c r="E1155" s="83"/>
      <c r="F1155" s="83"/>
    </row>
    <row r="1156" spans="1:8">
      <c r="B1156" s="105"/>
      <c r="C1156" s="112"/>
      <c r="D1156" s="83"/>
      <c r="E1156" s="83"/>
      <c r="F1156" s="83"/>
    </row>
    <row r="1157" spans="1:8">
      <c r="B1157" s="105"/>
      <c r="C1157" s="112"/>
      <c r="D1157" s="83"/>
      <c r="E1157" s="83"/>
      <c r="F1157" s="83"/>
    </row>
    <row r="1158" spans="1:8">
      <c r="B1158" s="105"/>
      <c r="C1158" s="112"/>
      <c r="D1158" s="83"/>
      <c r="E1158" s="83"/>
      <c r="F1158" s="83"/>
    </row>
    <row r="1159" spans="1:8">
      <c r="B1159" s="105"/>
      <c r="C1159" s="112"/>
      <c r="D1159" s="83"/>
      <c r="E1159" s="83"/>
      <c r="F1159" s="83"/>
    </row>
    <row r="1160" spans="1:8">
      <c r="B1160" s="105"/>
      <c r="C1160" s="112"/>
      <c r="D1160" s="83"/>
      <c r="E1160" s="83"/>
      <c r="F1160" s="83"/>
    </row>
    <row r="1161" spans="1:8">
      <c r="B1161" s="105"/>
      <c r="C1161" s="112"/>
      <c r="D1161" s="83"/>
      <c r="E1161" s="83"/>
      <c r="F1161" s="83"/>
    </row>
    <row r="1162" spans="1:8">
      <c r="B1162" s="105"/>
      <c r="C1162" s="112"/>
      <c r="D1162" s="83"/>
      <c r="E1162" s="83"/>
      <c r="F1162" s="83"/>
    </row>
    <row r="1163" spans="1:8">
      <c r="B1163" s="105"/>
      <c r="C1163" s="112"/>
      <c r="D1163" s="83"/>
      <c r="E1163" s="83"/>
      <c r="F1163" s="83"/>
    </row>
    <row r="1164" spans="1:8">
      <c r="B1164" s="105"/>
      <c r="C1164" s="112"/>
      <c r="D1164" s="83"/>
      <c r="E1164" s="83"/>
      <c r="F1164" s="83"/>
    </row>
    <row r="1165" spans="1:8">
      <c r="B1165" s="105"/>
      <c r="C1165" s="112"/>
      <c r="D1165" s="83"/>
      <c r="E1165" s="83"/>
      <c r="F1165" s="83"/>
    </row>
    <row r="1166" spans="1:8">
      <c r="B1166" s="105"/>
      <c r="C1166" s="112"/>
      <c r="D1166" s="83"/>
      <c r="E1166" s="83"/>
      <c r="F1166" s="83"/>
    </row>
    <row r="1167" spans="1:8">
      <c r="B1167" s="105"/>
      <c r="C1167" s="112"/>
      <c r="D1167" s="83"/>
      <c r="E1167" s="83"/>
      <c r="F1167" s="83"/>
    </row>
    <row r="1168" spans="1:8">
      <c r="B1168" s="105"/>
      <c r="C1168" s="112"/>
      <c r="D1168" s="83"/>
      <c r="E1168" s="83"/>
      <c r="F1168" s="83"/>
    </row>
    <row r="1169" spans="1:8">
      <c r="A1169" s="31"/>
      <c r="B1169" s="105"/>
      <c r="C1169" s="112"/>
      <c r="D1169" s="83"/>
      <c r="E1169" s="83"/>
      <c r="F1169" s="83"/>
      <c r="G1169" s="31"/>
      <c r="H1169" s="31"/>
    </row>
    <row r="1170" spans="1:8">
      <c r="A1170" s="31"/>
      <c r="B1170" s="105"/>
      <c r="C1170" s="112"/>
      <c r="D1170" s="83"/>
      <c r="E1170" s="83"/>
      <c r="F1170" s="83"/>
      <c r="G1170" s="31"/>
      <c r="H1170" s="31"/>
    </row>
    <row r="1171" spans="1:8">
      <c r="A1171" s="31"/>
      <c r="B1171" s="105"/>
      <c r="C1171" s="112"/>
      <c r="D1171" s="83"/>
      <c r="E1171" s="83"/>
      <c r="F1171" s="83"/>
      <c r="G1171" s="31"/>
      <c r="H1171" s="31"/>
    </row>
    <row r="1172" spans="1:8">
      <c r="A1172" s="31"/>
      <c r="B1172" s="105"/>
      <c r="C1172" s="112"/>
      <c r="D1172" s="83"/>
      <c r="E1172" s="83"/>
      <c r="F1172" s="83"/>
      <c r="G1172" s="31"/>
      <c r="H1172" s="31"/>
    </row>
    <row r="1173" spans="1:8">
      <c r="A1173" s="31"/>
      <c r="B1173" s="105"/>
      <c r="C1173" s="112"/>
      <c r="D1173" s="83"/>
      <c r="E1173" s="83"/>
      <c r="F1173" s="83"/>
      <c r="G1173" s="31"/>
      <c r="H1173" s="31"/>
    </row>
    <row r="1174" spans="1:8">
      <c r="A1174" s="31"/>
      <c r="B1174" s="105"/>
      <c r="C1174" s="112"/>
      <c r="D1174" s="83"/>
      <c r="E1174" s="83"/>
      <c r="F1174" s="83"/>
      <c r="G1174" s="31"/>
      <c r="H1174" s="31"/>
    </row>
    <row r="1175" spans="1:8">
      <c r="A1175" s="31"/>
      <c r="B1175" s="105"/>
      <c r="C1175" s="112"/>
      <c r="D1175" s="83"/>
      <c r="E1175" s="83"/>
      <c r="F1175" s="83"/>
      <c r="G1175" s="31"/>
      <c r="H1175" s="31"/>
    </row>
    <row r="1176" spans="1:8">
      <c r="A1176" s="31"/>
      <c r="B1176" s="105"/>
      <c r="C1176" s="112"/>
      <c r="D1176" s="83"/>
      <c r="E1176" s="83"/>
      <c r="F1176" s="83"/>
      <c r="G1176" s="31"/>
      <c r="H1176" s="31"/>
    </row>
    <row r="1177" spans="1:8">
      <c r="A1177" s="31"/>
      <c r="B1177" s="105"/>
      <c r="C1177" s="112"/>
      <c r="D1177" s="83"/>
      <c r="E1177" s="83"/>
      <c r="F1177" s="83"/>
      <c r="G1177" s="31"/>
      <c r="H1177" s="31"/>
    </row>
    <row r="1178" spans="1:8">
      <c r="A1178" s="31"/>
      <c r="B1178" s="105"/>
      <c r="C1178" s="112"/>
      <c r="D1178" s="83"/>
      <c r="E1178" s="83"/>
      <c r="F1178" s="83"/>
      <c r="G1178" s="31"/>
      <c r="H1178" s="31"/>
    </row>
    <row r="1179" spans="1:8">
      <c r="A1179" s="31"/>
      <c r="B1179" s="105"/>
      <c r="C1179" s="112"/>
      <c r="D1179" s="83"/>
      <c r="E1179" s="83"/>
      <c r="F1179" s="83"/>
      <c r="G1179" s="31"/>
      <c r="H1179" s="31"/>
    </row>
    <row r="1180" spans="1:8">
      <c r="A1180" s="31"/>
      <c r="B1180" s="105"/>
      <c r="C1180" s="112"/>
      <c r="D1180" s="83"/>
      <c r="E1180" s="83"/>
      <c r="F1180" s="83"/>
      <c r="G1180" s="31"/>
      <c r="H1180" s="31"/>
    </row>
    <row r="1181" spans="1:8">
      <c r="A1181" s="31"/>
      <c r="B1181" s="105"/>
      <c r="C1181" s="112"/>
      <c r="D1181" s="83"/>
      <c r="E1181" s="83"/>
      <c r="F1181" s="83"/>
      <c r="G1181" s="31"/>
      <c r="H1181" s="31"/>
    </row>
    <row r="1182" spans="1:8">
      <c r="A1182" s="31"/>
      <c r="B1182" s="105"/>
      <c r="C1182" s="112"/>
      <c r="D1182" s="83"/>
      <c r="E1182" s="83"/>
      <c r="F1182" s="83"/>
      <c r="G1182" s="31"/>
      <c r="H1182" s="31"/>
    </row>
    <row r="1183" spans="1:8">
      <c r="A1183" s="31"/>
      <c r="B1183" s="105"/>
      <c r="C1183" s="112"/>
      <c r="D1183" s="83"/>
      <c r="E1183" s="83"/>
      <c r="F1183" s="83"/>
      <c r="G1183" s="31"/>
      <c r="H1183" s="31"/>
    </row>
    <row r="1184" spans="1:8">
      <c r="A1184" s="31"/>
      <c r="B1184" s="105"/>
      <c r="C1184" s="112"/>
      <c r="D1184" s="83"/>
      <c r="E1184" s="83"/>
      <c r="F1184" s="83"/>
      <c r="G1184" s="31"/>
      <c r="H1184" s="31"/>
    </row>
    <row r="1185" spans="1:8">
      <c r="A1185" s="31"/>
      <c r="B1185" s="105"/>
      <c r="C1185" s="112"/>
      <c r="D1185" s="83"/>
      <c r="E1185" s="83"/>
      <c r="F1185" s="83"/>
      <c r="G1185" s="31"/>
      <c r="H1185" s="31"/>
    </row>
    <row r="1186" spans="1:8">
      <c r="A1186" s="31"/>
      <c r="B1186" s="105"/>
      <c r="C1186" s="112"/>
      <c r="D1186" s="83"/>
      <c r="E1186" s="83"/>
      <c r="F1186" s="83"/>
      <c r="G1186" s="31"/>
      <c r="H1186" s="31"/>
    </row>
    <row r="1187" spans="1:8">
      <c r="A1187" s="31"/>
      <c r="B1187" s="105"/>
      <c r="C1187" s="112"/>
      <c r="D1187" s="83"/>
      <c r="E1187" s="83"/>
      <c r="F1187" s="83"/>
      <c r="G1187" s="31"/>
      <c r="H1187" s="31"/>
    </row>
    <row r="1188" spans="1:8">
      <c r="A1188" s="31"/>
      <c r="B1188" s="105"/>
      <c r="C1188" s="112"/>
      <c r="D1188" s="83"/>
      <c r="E1188" s="83"/>
      <c r="F1188" s="83"/>
      <c r="G1188" s="31"/>
      <c r="H1188" s="31"/>
    </row>
    <row r="1189" spans="1:8">
      <c r="A1189" s="31"/>
      <c r="B1189" s="105"/>
      <c r="C1189" s="112"/>
      <c r="D1189" s="83"/>
      <c r="E1189" s="83"/>
      <c r="F1189" s="83"/>
      <c r="G1189" s="31"/>
      <c r="H1189" s="31"/>
    </row>
    <row r="1190" spans="1:8">
      <c r="A1190" s="31"/>
      <c r="B1190" s="105"/>
      <c r="C1190" s="112"/>
      <c r="D1190" s="83"/>
      <c r="E1190" s="83"/>
      <c r="F1190" s="83"/>
      <c r="G1190" s="31"/>
      <c r="H1190" s="31"/>
    </row>
    <row r="1191" spans="1:8">
      <c r="A1191" s="31"/>
      <c r="B1191" s="105"/>
      <c r="C1191" s="112"/>
      <c r="D1191" s="83"/>
      <c r="E1191" s="83"/>
      <c r="F1191" s="83"/>
      <c r="G1191" s="31"/>
      <c r="H1191" s="31"/>
    </row>
    <row r="1192" spans="1:8">
      <c r="A1192" s="31"/>
      <c r="B1192" s="105"/>
      <c r="C1192" s="112"/>
      <c r="D1192" s="83"/>
      <c r="E1192" s="83"/>
      <c r="F1192" s="83"/>
      <c r="G1192" s="31"/>
      <c r="H1192" s="31"/>
    </row>
    <row r="1193" spans="1:8">
      <c r="A1193" s="31"/>
      <c r="B1193" s="105"/>
      <c r="C1193" s="112"/>
      <c r="D1193" s="83"/>
      <c r="E1193" s="83"/>
      <c r="F1193" s="83"/>
      <c r="G1193" s="31"/>
      <c r="H1193" s="31"/>
    </row>
    <row r="1194" spans="1:8">
      <c r="A1194" s="31"/>
      <c r="B1194" s="105"/>
      <c r="C1194" s="112"/>
      <c r="D1194" s="83"/>
      <c r="E1194" s="83"/>
      <c r="F1194" s="83"/>
      <c r="G1194" s="31"/>
      <c r="H1194" s="31"/>
    </row>
    <row r="1195" spans="1:8">
      <c r="A1195" s="31"/>
      <c r="B1195" s="105"/>
      <c r="C1195" s="112"/>
      <c r="D1195" s="83"/>
      <c r="E1195" s="83"/>
      <c r="F1195" s="83"/>
      <c r="G1195" s="31"/>
      <c r="H1195" s="31"/>
    </row>
    <row r="1196" spans="1:8">
      <c r="A1196" s="31"/>
      <c r="B1196" s="105"/>
      <c r="C1196" s="112"/>
      <c r="D1196" s="83"/>
      <c r="E1196" s="83"/>
      <c r="F1196" s="83"/>
      <c r="G1196" s="31"/>
      <c r="H1196" s="31"/>
    </row>
    <row r="1197" spans="1:8">
      <c r="A1197" s="31"/>
      <c r="B1197" s="105"/>
      <c r="C1197" s="112"/>
      <c r="D1197" s="83"/>
      <c r="E1197" s="83"/>
      <c r="F1197" s="83"/>
      <c r="G1197" s="31"/>
      <c r="H1197" s="31"/>
    </row>
    <row r="1198" spans="1:8">
      <c r="A1198" s="31"/>
      <c r="B1198" s="105"/>
      <c r="C1198" s="112"/>
      <c r="D1198" s="83"/>
      <c r="E1198" s="83"/>
      <c r="F1198" s="83"/>
      <c r="G1198" s="31"/>
      <c r="H1198" s="31"/>
    </row>
    <row r="1199" spans="1:8">
      <c r="A1199" s="31"/>
      <c r="B1199" s="105"/>
      <c r="C1199" s="112"/>
      <c r="D1199" s="83"/>
      <c r="E1199" s="83"/>
      <c r="F1199" s="83"/>
      <c r="G1199" s="31"/>
      <c r="H1199" s="31"/>
    </row>
    <row r="1200" spans="1:8">
      <c r="A1200" s="31"/>
      <c r="B1200" s="105"/>
      <c r="C1200" s="112"/>
      <c r="D1200" s="83"/>
      <c r="E1200" s="83"/>
      <c r="F1200" s="83"/>
      <c r="G1200" s="31"/>
      <c r="H1200" s="31"/>
    </row>
    <row r="1201" spans="1:8">
      <c r="A1201" s="31"/>
      <c r="B1201" s="105"/>
      <c r="C1201" s="112"/>
      <c r="D1201" s="83"/>
      <c r="E1201" s="83"/>
      <c r="F1201" s="83"/>
      <c r="G1201" s="31"/>
      <c r="H1201" s="31"/>
    </row>
    <row r="1202" spans="1:8">
      <c r="A1202" s="31"/>
      <c r="B1202" s="105"/>
      <c r="C1202" s="112"/>
      <c r="D1202" s="83"/>
      <c r="E1202" s="83"/>
      <c r="F1202" s="83"/>
      <c r="G1202" s="31"/>
      <c r="H1202" s="31"/>
    </row>
    <row r="1203" spans="1:8">
      <c r="A1203" s="31"/>
      <c r="B1203" s="105"/>
      <c r="C1203" s="112"/>
      <c r="D1203" s="83"/>
      <c r="E1203" s="83"/>
      <c r="F1203" s="83"/>
      <c r="G1203" s="31"/>
      <c r="H1203" s="31"/>
    </row>
    <row r="1204" spans="1:8">
      <c r="A1204" s="31"/>
      <c r="B1204" s="105"/>
      <c r="C1204" s="112"/>
      <c r="D1204" s="83"/>
      <c r="E1204" s="83"/>
      <c r="F1204" s="83"/>
      <c r="G1204" s="31"/>
      <c r="H1204" s="31"/>
    </row>
    <row r="1205" spans="1:8">
      <c r="A1205" s="31"/>
      <c r="B1205" s="105"/>
      <c r="C1205" s="112"/>
      <c r="D1205" s="83"/>
      <c r="E1205" s="83"/>
      <c r="F1205" s="83"/>
      <c r="G1205" s="31"/>
      <c r="H1205" s="31"/>
    </row>
    <row r="1206" spans="1:8">
      <c r="A1206" s="31"/>
      <c r="B1206" s="105"/>
      <c r="C1206" s="112"/>
      <c r="D1206" s="83"/>
      <c r="E1206" s="83"/>
      <c r="F1206" s="83"/>
      <c r="G1206" s="31"/>
      <c r="H1206" s="31"/>
    </row>
    <row r="1207" spans="1:8">
      <c r="A1207" s="31"/>
      <c r="B1207" s="105"/>
      <c r="C1207" s="112"/>
      <c r="D1207" s="83"/>
      <c r="E1207" s="83"/>
      <c r="F1207" s="83"/>
      <c r="G1207" s="31"/>
      <c r="H1207" s="31"/>
    </row>
    <row r="1208" spans="1:8">
      <c r="A1208" s="31"/>
      <c r="B1208" s="105"/>
      <c r="C1208" s="112"/>
      <c r="D1208" s="83"/>
      <c r="E1208" s="83"/>
      <c r="F1208" s="83"/>
      <c r="G1208" s="31"/>
      <c r="H1208" s="31"/>
    </row>
    <row r="1209" spans="1:8">
      <c r="A1209" s="31"/>
      <c r="B1209" s="105"/>
      <c r="C1209" s="112"/>
      <c r="D1209" s="83"/>
      <c r="E1209" s="83"/>
      <c r="F1209" s="83"/>
      <c r="G1209" s="31"/>
      <c r="H1209" s="31"/>
    </row>
    <row r="1210" spans="1:8">
      <c r="A1210" s="31"/>
      <c r="B1210" s="105"/>
      <c r="C1210" s="112"/>
      <c r="D1210" s="83"/>
      <c r="E1210" s="83"/>
      <c r="F1210" s="83"/>
      <c r="G1210" s="31"/>
      <c r="H1210" s="31"/>
    </row>
    <row r="1211" spans="1:8">
      <c r="A1211" s="31"/>
      <c r="B1211" s="105"/>
      <c r="C1211" s="112"/>
      <c r="D1211" s="83"/>
      <c r="E1211" s="83"/>
      <c r="F1211" s="83"/>
      <c r="G1211" s="31"/>
      <c r="H1211" s="31"/>
    </row>
    <row r="1212" spans="1:8">
      <c r="A1212" s="31"/>
      <c r="B1212" s="105"/>
      <c r="C1212" s="112"/>
      <c r="D1212" s="83"/>
      <c r="E1212" s="83"/>
      <c r="F1212" s="83"/>
      <c r="G1212" s="31"/>
      <c r="H1212" s="31"/>
    </row>
    <row r="1213" spans="1:8">
      <c r="A1213" s="31"/>
      <c r="B1213" s="105"/>
      <c r="C1213" s="112"/>
      <c r="D1213" s="83"/>
      <c r="E1213" s="83"/>
      <c r="F1213" s="83"/>
      <c r="G1213" s="31"/>
      <c r="H1213" s="31"/>
    </row>
    <row r="1214" spans="1:8">
      <c r="A1214" s="31"/>
      <c r="B1214" s="105"/>
      <c r="C1214" s="112"/>
      <c r="D1214" s="83"/>
      <c r="E1214" s="83"/>
      <c r="F1214" s="83"/>
      <c r="G1214" s="31"/>
      <c r="H1214" s="31"/>
    </row>
    <row r="1215" spans="1:8">
      <c r="A1215" s="31"/>
      <c r="B1215" s="105"/>
      <c r="C1215" s="112"/>
      <c r="D1215" s="83"/>
      <c r="E1215" s="83"/>
      <c r="F1215" s="83"/>
      <c r="G1215" s="31"/>
      <c r="H1215" s="31"/>
    </row>
    <row r="1216" spans="1:8">
      <c r="A1216" s="31"/>
      <c r="B1216" s="105"/>
      <c r="C1216" s="112"/>
      <c r="D1216" s="83"/>
      <c r="E1216" s="83"/>
      <c r="F1216" s="83"/>
      <c r="G1216" s="31"/>
      <c r="H1216" s="31"/>
    </row>
    <row r="1217" spans="1:8">
      <c r="A1217" s="31"/>
      <c r="B1217" s="105"/>
      <c r="C1217" s="112"/>
      <c r="D1217" s="83"/>
      <c r="E1217" s="83"/>
      <c r="F1217" s="83"/>
      <c r="G1217" s="31"/>
      <c r="H1217" s="31"/>
    </row>
    <row r="1218" spans="1:8">
      <c r="A1218" s="31"/>
      <c r="B1218" s="105"/>
      <c r="C1218" s="112"/>
      <c r="D1218" s="83"/>
      <c r="E1218" s="83"/>
      <c r="F1218" s="83"/>
      <c r="G1218" s="31"/>
      <c r="H1218" s="31"/>
    </row>
    <row r="1219" spans="1:8">
      <c r="A1219" s="31"/>
      <c r="B1219" s="105"/>
      <c r="C1219" s="112"/>
      <c r="D1219" s="83"/>
      <c r="E1219" s="83"/>
      <c r="F1219" s="83"/>
      <c r="G1219" s="31"/>
      <c r="H1219" s="31"/>
    </row>
    <row r="1220" spans="1:8">
      <c r="A1220" s="31"/>
      <c r="B1220" s="105"/>
      <c r="C1220" s="112"/>
      <c r="D1220" s="83"/>
      <c r="E1220" s="83"/>
      <c r="F1220" s="83"/>
      <c r="G1220" s="31"/>
      <c r="H1220" s="31"/>
    </row>
    <row r="1221" spans="1:8">
      <c r="A1221" s="31"/>
      <c r="B1221" s="105"/>
      <c r="C1221" s="112"/>
      <c r="D1221" s="83"/>
      <c r="E1221" s="83"/>
      <c r="F1221" s="83"/>
      <c r="G1221" s="31"/>
      <c r="H1221" s="31"/>
    </row>
    <row r="1222" spans="1:8">
      <c r="A1222" s="31"/>
      <c r="B1222" s="105"/>
      <c r="C1222" s="112"/>
      <c r="D1222" s="83"/>
      <c r="E1222" s="83"/>
      <c r="F1222" s="83"/>
      <c r="G1222" s="31"/>
      <c r="H1222" s="31"/>
    </row>
    <row r="1223" spans="1:8">
      <c r="A1223" s="31"/>
      <c r="B1223" s="105"/>
      <c r="C1223" s="112"/>
      <c r="D1223" s="83"/>
      <c r="E1223" s="83"/>
      <c r="F1223" s="83"/>
      <c r="G1223" s="31"/>
      <c r="H1223" s="31"/>
    </row>
    <row r="1224" spans="1:8">
      <c r="A1224" s="31"/>
      <c r="B1224" s="105"/>
      <c r="C1224" s="112"/>
      <c r="D1224" s="83"/>
      <c r="E1224" s="83"/>
      <c r="F1224" s="83"/>
      <c r="G1224" s="31"/>
      <c r="H1224" s="31"/>
    </row>
    <row r="1225" spans="1:8">
      <c r="A1225" s="31"/>
      <c r="B1225" s="105"/>
      <c r="C1225" s="112"/>
      <c r="D1225" s="83"/>
      <c r="E1225" s="83"/>
      <c r="F1225" s="83"/>
      <c r="G1225" s="31"/>
      <c r="H1225" s="31"/>
    </row>
    <row r="1226" spans="1:8">
      <c r="A1226" s="31"/>
      <c r="B1226" s="105"/>
      <c r="C1226" s="112"/>
      <c r="D1226" s="83"/>
      <c r="E1226" s="83"/>
      <c r="F1226" s="83"/>
      <c r="G1226" s="31"/>
      <c r="H1226" s="31"/>
    </row>
    <row r="1227" spans="1:8">
      <c r="A1227" s="31"/>
      <c r="B1227" s="105"/>
      <c r="C1227" s="112"/>
      <c r="D1227" s="83"/>
      <c r="E1227" s="83"/>
      <c r="F1227" s="83"/>
      <c r="G1227" s="31"/>
      <c r="H1227" s="31"/>
    </row>
    <row r="1228" spans="1:8">
      <c r="A1228" s="31"/>
      <c r="B1228" s="105"/>
      <c r="C1228" s="112"/>
      <c r="D1228" s="83"/>
      <c r="E1228" s="83"/>
      <c r="F1228" s="83"/>
      <c r="G1228" s="31"/>
      <c r="H1228" s="31"/>
    </row>
    <row r="1229" spans="1:8">
      <c r="A1229" s="31"/>
      <c r="B1229" s="105"/>
      <c r="C1229" s="112"/>
      <c r="D1229" s="83"/>
      <c r="E1229" s="83"/>
      <c r="F1229" s="83"/>
      <c r="G1229" s="31"/>
      <c r="H1229" s="31"/>
    </row>
    <row r="1230" spans="1:8">
      <c r="A1230" s="31"/>
      <c r="B1230" s="105"/>
      <c r="C1230" s="112"/>
      <c r="D1230" s="83"/>
      <c r="E1230" s="83"/>
      <c r="F1230" s="83"/>
      <c r="G1230" s="31"/>
      <c r="H1230" s="31"/>
    </row>
    <row r="1231" spans="1:8">
      <c r="A1231" s="31"/>
      <c r="B1231" s="105"/>
      <c r="C1231" s="112"/>
      <c r="D1231" s="83"/>
      <c r="E1231" s="83"/>
      <c r="F1231" s="83"/>
      <c r="G1231" s="31"/>
      <c r="H1231" s="31"/>
    </row>
    <row r="1232" spans="1:8">
      <c r="A1232" s="31"/>
      <c r="B1232" s="105"/>
      <c r="C1232" s="112"/>
      <c r="D1232" s="83"/>
      <c r="E1232" s="83"/>
      <c r="F1232" s="83"/>
      <c r="G1232" s="31"/>
      <c r="H1232" s="31"/>
    </row>
    <row r="1233" spans="1:8">
      <c r="A1233" s="31"/>
      <c r="B1233" s="105"/>
      <c r="C1233" s="112"/>
      <c r="D1233" s="83"/>
      <c r="E1233" s="83"/>
      <c r="F1233" s="83"/>
      <c r="G1233" s="31"/>
      <c r="H1233" s="31"/>
    </row>
    <row r="1234" spans="1:8">
      <c r="A1234" s="31"/>
      <c r="B1234" s="105"/>
      <c r="C1234" s="112"/>
      <c r="D1234" s="83"/>
      <c r="E1234" s="83"/>
      <c r="F1234" s="83"/>
      <c r="G1234" s="31"/>
      <c r="H1234" s="31"/>
    </row>
    <row r="1235" spans="1:8">
      <c r="A1235" s="31"/>
      <c r="B1235" s="105"/>
      <c r="C1235" s="112"/>
      <c r="D1235" s="83"/>
      <c r="E1235" s="83"/>
      <c r="F1235" s="83"/>
      <c r="G1235" s="31"/>
      <c r="H1235" s="31"/>
    </row>
    <row r="1236" spans="1:8">
      <c r="A1236" s="31"/>
      <c r="B1236" s="105"/>
      <c r="C1236" s="112"/>
      <c r="D1236" s="83"/>
      <c r="E1236" s="83"/>
      <c r="F1236" s="83"/>
      <c r="G1236" s="31"/>
      <c r="H1236" s="31"/>
    </row>
    <row r="1237" spans="1:8">
      <c r="A1237" s="31"/>
      <c r="B1237" s="105"/>
      <c r="C1237" s="112"/>
      <c r="D1237" s="83"/>
      <c r="E1237" s="83"/>
      <c r="F1237" s="83"/>
      <c r="G1237" s="31"/>
      <c r="H1237" s="31"/>
    </row>
    <row r="1238" spans="1:8">
      <c r="A1238" s="31"/>
      <c r="B1238" s="105"/>
      <c r="C1238" s="112"/>
      <c r="D1238" s="83"/>
      <c r="E1238" s="83"/>
      <c r="F1238" s="83"/>
      <c r="G1238" s="31"/>
      <c r="H1238" s="31"/>
    </row>
    <row r="1239" spans="1:8">
      <c r="A1239" s="31"/>
      <c r="B1239" s="105"/>
      <c r="C1239" s="112"/>
      <c r="D1239" s="83"/>
      <c r="E1239" s="83"/>
      <c r="F1239" s="83"/>
      <c r="G1239" s="31"/>
      <c r="H1239" s="31"/>
    </row>
    <row r="1240" spans="1:8">
      <c r="A1240" s="31"/>
      <c r="B1240" s="105"/>
      <c r="C1240" s="112"/>
      <c r="D1240" s="83"/>
      <c r="E1240" s="83"/>
      <c r="F1240" s="83"/>
      <c r="G1240" s="31"/>
      <c r="H1240" s="31"/>
    </row>
    <row r="1241" spans="1:8">
      <c r="A1241" s="31"/>
      <c r="B1241" s="105"/>
      <c r="C1241" s="112"/>
      <c r="D1241" s="83"/>
      <c r="E1241" s="83"/>
      <c r="F1241" s="83"/>
      <c r="G1241" s="31"/>
      <c r="H1241" s="31"/>
    </row>
    <row r="1242" spans="1:8">
      <c r="A1242" s="31"/>
      <c r="B1242" s="105"/>
      <c r="C1242" s="112"/>
      <c r="D1242" s="83"/>
      <c r="E1242" s="83"/>
      <c r="F1242" s="83"/>
      <c r="G1242" s="31"/>
      <c r="H1242" s="31"/>
    </row>
    <row r="1243" spans="1:8">
      <c r="A1243" s="31"/>
      <c r="B1243" s="105"/>
      <c r="C1243" s="112"/>
      <c r="D1243" s="83"/>
      <c r="E1243" s="83"/>
      <c r="F1243" s="83"/>
      <c r="G1243" s="31"/>
      <c r="H1243" s="31"/>
    </row>
    <row r="1244" spans="1:8">
      <c r="A1244" s="31"/>
      <c r="B1244" s="105"/>
      <c r="C1244" s="112"/>
      <c r="D1244" s="83"/>
      <c r="E1244" s="83"/>
      <c r="F1244" s="83"/>
      <c r="G1244" s="31"/>
      <c r="H1244" s="31"/>
    </row>
    <row r="1245" spans="1:8">
      <c r="A1245" s="31"/>
      <c r="B1245" s="105"/>
      <c r="C1245" s="112"/>
      <c r="D1245" s="83"/>
      <c r="E1245" s="83"/>
      <c r="F1245" s="83"/>
      <c r="G1245" s="31"/>
      <c r="H1245" s="31"/>
    </row>
    <row r="1246" spans="1:8">
      <c r="A1246" s="31"/>
      <c r="B1246" s="105"/>
      <c r="C1246" s="112"/>
      <c r="D1246" s="83"/>
      <c r="E1246" s="83"/>
      <c r="F1246" s="83"/>
      <c r="G1246" s="31"/>
      <c r="H1246" s="31"/>
    </row>
    <row r="1247" spans="1:8">
      <c r="A1247" s="31"/>
      <c r="B1247" s="105"/>
      <c r="C1247" s="112"/>
      <c r="D1247" s="83"/>
      <c r="E1247" s="83"/>
      <c r="F1247" s="83"/>
      <c r="G1247" s="31"/>
      <c r="H1247" s="31"/>
    </row>
    <row r="1248" spans="1:8">
      <c r="A1248" s="31"/>
      <c r="B1248" s="105"/>
      <c r="C1248" s="112"/>
      <c r="D1248" s="83"/>
      <c r="E1248" s="83"/>
      <c r="F1248" s="83"/>
      <c r="G1248" s="31"/>
      <c r="H1248" s="31"/>
    </row>
    <row r="1249" spans="1:8">
      <c r="A1249" s="31"/>
      <c r="B1249" s="105"/>
      <c r="C1249" s="112"/>
      <c r="D1249" s="83"/>
      <c r="E1249" s="83"/>
      <c r="F1249" s="83"/>
      <c r="G1249" s="31"/>
      <c r="H1249" s="31"/>
    </row>
    <row r="1250" spans="1:8">
      <c r="A1250" s="31"/>
      <c r="B1250" s="105"/>
      <c r="C1250" s="112"/>
      <c r="D1250" s="83"/>
      <c r="E1250" s="83"/>
      <c r="F1250" s="83"/>
      <c r="G1250" s="31"/>
      <c r="H1250" s="31"/>
    </row>
    <row r="1251" spans="1:8">
      <c r="A1251" s="31"/>
      <c r="B1251" s="105"/>
      <c r="C1251" s="112"/>
      <c r="D1251" s="83"/>
      <c r="E1251" s="83"/>
      <c r="F1251" s="83"/>
      <c r="G1251" s="31"/>
      <c r="H1251" s="31"/>
    </row>
    <row r="1252" spans="1:8">
      <c r="A1252" s="31"/>
      <c r="B1252" s="105"/>
      <c r="C1252" s="112"/>
      <c r="D1252" s="83"/>
      <c r="E1252" s="83"/>
      <c r="F1252" s="83"/>
      <c r="G1252" s="31"/>
      <c r="H1252" s="31"/>
    </row>
    <row r="1253" spans="1:8">
      <c r="A1253" s="31"/>
      <c r="B1253" s="105"/>
      <c r="C1253" s="112"/>
      <c r="D1253" s="83"/>
      <c r="E1253" s="83"/>
      <c r="F1253" s="83"/>
      <c r="G1253" s="31"/>
      <c r="H1253" s="31"/>
    </row>
    <row r="1254" spans="1:8">
      <c r="A1254" s="31"/>
      <c r="B1254" s="105"/>
      <c r="C1254" s="112"/>
      <c r="D1254" s="83"/>
      <c r="E1254" s="83"/>
      <c r="F1254" s="83"/>
      <c r="G1254" s="31"/>
      <c r="H1254" s="31"/>
    </row>
    <row r="1255" spans="1:8">
      <c r="A1255" s="31"/>
      <c r="B1255" s="105"/>
      <c r="C1255" s="112"/>
      <c r="D1255" s="83"/>
      <c r="E1255" s="83"/>
      <c r="F1255" s="83"/>
      <c r="G1255" s="31"/>
      <c r="H1255" s="31"/>
    </row>
    <row r="1256" spans="1:8">
      <c r="A1256" s="31"/>
      <c r="B1256" s="105"/>
      <c r="C1256" s="112"/>
      <c r="D1256" s="83"/>
      <c r="E1256" s="83"/>
      <c r="F1256" s="83"/>
      <c r="G1256" s="31"/>
      <c r="H1256" s="31"/>
    </row>
    <row r="1257" spans="1:8">
      <c r="A1257" s="31"/>
      <c r="B1257" s="105"/>
      <c r="C1257" s="112"/>
      <c r="D1257" s="83"/>
      <c r="E1257" s="83"/>
      <c r="F1257" s="83"/>
      <c r="G1257" s="31"/>
      <c r="H1257" s="31"/>
    </row>
    <row r="1258" spans="1:8">
      <c r="A1258" s="31"/>
      <c r="B1258" s="105"/>
      <c r="C1258" s="112"/>
      <c r="D1258" s="83"/>
      <c r="E1258" s="83"/>
      <c r="F1258" s="83"/>
      <c r="G1258" s="31"/>
      <c r="H1258" s="31"/>
    </row>
    <row r="1259" spans="1:8">
      <c r="A1259" s="31"/>
      <c r="B1259" s="105"/>
      <c r="C1259" s="112"/>
      <c r="D1259" s="83"/>
      <c r="E1259" s="83"/>
      <c r="F1259" s="83"/>
      <c r="G1259" s="31"/>
      <c r="H1259" s="31"/>
    </row>
    <row r="1260" spans="1:8">
      <c r="A1260" s="31"/>
      <c r="B1260" s="105"/>
      <c r="C1260" s="112"/>
      <c r="D1260" s="83"/>
      <c r="E1260" s="83"/>
      <c r="F1260" s="83"/>
      <c r="G1260" s="31"/>
      <c r="H1260" s="31"/>
    </row>
    <row r="1261" spans="1:8">
      <c r="A1261" s="31"/>
      <c r="B1261" s="105"/>
      <c r="C1261" s="112"/>
      <c r="D1261" s="83"/>
      <c r="E1261" s="83"/>
      <c r="F1261" s="83"/>
      <c r="G1261" s="31"/>
      <c r="H1261" s="31"/>
    </row>
    <row r="1262" spans="1:8">
      <c r="A1262" s="31"/>
      <c r="B1262" s="105"/>
      <c r="C1262" s="112"/>
      <c r="D1262" s="83"/>
      <c r="E1262" s="83"/>
      <c r="F1262" s="83"/>
      <c r="G1262" s="31"/>
      <c r="H1262" s="31"/>
    </row>
    <row r="1263" spans="1:8">
      <c r="A1263" s="31"/>
      <c r="B1263" s="105"/>
      <c r="C1263" s="112"/>
      <c r="D1263" s="83"/>
      <c r="E1263" s="83"/>
      <c r="F1263" s="83"/>
      <c r="G1263" s="31"/>
      <c r="H1263" s="31"/>
    </row>
    <row r="1264" spans="1:8">
      <c r="A1264" s="31"/>
      <c r="B1264" s="105"/>
      <c r="C1264" s="112"/>
      <c r="D1264" s="83"/>
      <c r="E1264" s="83"/>
      <c r="F1264" s="83"/>
      <c r="G1264" s="31"/>
      <c r="H1264" s="31"/>
    </row>
    <row r="1265" spans="1:8">
      <c r="A1265" s="31"/>
      <c r="B1265" s="105"/>
      <c r="C1265" s="112"/>
      <c r="D1265" s="83"/>
      <c r="E1265" s="83"/>
      <c r="F1265" s="83"/>
      <c r="G1265" s="31"/>
      <c r="H1265" s="31"/>
    </row>
    <row r="1266" spans="1:8">
      <c r="A1266" s="31"/>
      <c r="B1266" s="105"/>
      <c r="C1266" s="112"/>
      <c r="D1266" s="83"/>
      <c r="E1266" s="83"/>
      <c r="F1266" s="83"/>
      <c r="G1266" s="31"/>
      <c r="H1266" s="31"/>
    </row>
    <row r="1267" spans="1:8">
      <c r="A1267" s="31"/>
      <c r="B1267" s="105"/>
      <c r="C1267" s="112"/>
      <c r="D1267" s="83"/>
      <c r="E1267" s="83"/>
      <c r="F1267" s="83"/>
      <c r="G1267" s="31"/>
      <c r="H1267" s="31"/>
    </row>
    <row r="1268" spans="1:8">
      <c r="A1268" s="31"/>
      <c r="B1268" s="105"/>
      <c r="C1268" s="112"/>
      <c r="D1268" s="83"/>
      <c r="E1268" s="83"/>
      <c r="F1268" s="83"/>
      <c r="G1268" s="31"/>
      <c r="H1268" s="31"/>
    </row>
    <row r="1269" spans="1:8">
      <c r="A1269" s="31"/>
      <c r="B1269" s="105"/>
      <c r="C1269" s="112"/>
      <c r="D1269" s="83"/>
      <c r="E1269" s="83"/>
      <c r="F1269" s="83"/>
      <c r="G1269" s="31"/>
      <c r="H1269" s="31"/>
    </row>
    <row r="1270" spans="1:8">
      <c r="A1270" s="31"/>
      <c r="B1270" s="105"/>
      <c r="C1270" s="112"/>
      <c r="D1270" s="83"/>
      <c r="E1270" s="83"/>
      <c r="F1270" s="83"/>
      <c r="G1270" s="31"/>
      <c r="H1270" s="31"/>
    </row>
    <row r="1271" spans="1:8">
      <c r="A1271" s="31"/>
      <c r="B1271" s="105"/>
      <c r="C1271" s="112"/>
      <c r="D1271" s="83"/>
      <c r="E1271" s="83"/>
      <c r="F1271" s="83"/>
      <c r="G1271" s="31"/>
      <c r="H1271" s="31"/>
    </row>
    <row r="1272" spans="1:8">
      <c r="A1272" s="31"/>
      <c r="B1272" s="105"/>
      <c r="C1272" s="112"/>
      <c r="D1272" s="83"/>
      <c r="E1272" s="83"/>
      <c r="F1272" s="83"/>
      <c r="G1272" s="31"/>
      <c r="H1272" s="31"/>
    </row>
    <row r="1273" spans="1:8">
      <c r="A1273" s="31"/>
      <c r="B1273" s="105"/>
      <c r="C1273" s="112"/>
      <c r="D1273" s="83"/>
      <c r="E1273" s="83"/>
      <c r="F1273" s="83"/>
      <c r="G1273" s="31"/>
      <c r="H1273" s="31"/>
    </row>
    <row r="1274" spans="1:8">
      <c r="A1274" s="31"/>
      <c r="B1274" s="105"/>
      <c r="C1274" s="112"/>
      <c r="D1274" s="83"/>
      <c r="E1274" s="83"/>
      <c r="F1274" s="83"/>
      <c r="G1274" s="31"/>
      <c r="H1274" s="31"/>
    </row>
    <row r="1275" spans="1:8">
      <c r="A1275" s="31"/>
      <c r="B1275" s="105"/>
      <c r="C1275" s="112"/>
      <c r="D1275" s="83"/>
      <c r="E1275" s="83"/>
      <c r="F1275" s="83"/>
      <c r="G1275" s="31"/>
      <c r="H1275" s="31"/>
    </row>
    <row r="1276" spans="1:8">
      <c r="A1276" s="31"/>
      <c r="B1276" s="105"/>
      <c r="C1276" s="112"/>
      <c r="D1276" s="83"/>
      <c r="E1276" s="83"/>
      <c r="F1276" s="83"/>
      <c r="G1276" s="31"/>
      <c r="H1276" s="31"/>
    </row>
    <row r="1277" spans="1:8">
      <c r="A1277" s="31"/>
      <c r="B1277" s="105"/>
      <c r="C1277" s="112"/>
      <c r="D1277" s="83"/>
      <c r="E1277" s="83"/>
      <c r="F1277" s="83"/>
      <c r="G1277" s="31"/>
      <c r="H1277" s="31"/>
    </row>
    <row r="1278" spans="1:8">
      <c r="A1278" s="31"/>
      <c r="B1278" s="105"/>
      <c r="C1278" s="112"/>
      <c r="D1278" s="83"/>
      <c r="E1278" s="83"/>
      <c r="F1278" s="83"/>
      <c r="G1278" s="31"/>
      <c r="H1278" s="31"/>
    </row>
    <row r="1279" spans="1:8">
      <c r="A1279" s="31"/>
      <c r="B1279" s="105"/>
      <c r="C1279" s="112"/>
      <c r="D1279" s="83"/>
      <c r="E1279" s="83"/>
      <c r="F1279" s="83"/>
      <c r="G1279" s="31"/>
      <c r="H1279" s="31"/>
    </row>
    <row r="1280" spans="1:8">
      <c r="A1280" s="31"/>
      <c r="B1280" s="105"/>
      <c r="C1280" s="112"/>
      <c r="D1280" s="83"/>
      <c r="E1280" s="83"/>
      <c r="F1280" s="83"/>
      <c r="G1280" s="31"/>
      <c r="H1280" s="31"/>
    </row>
    <row r="1281" spans="1:8">
      <c r="A1281" s="31"/>
      <c r="B1281" s="105"/>
      <c r="C1281" s="112"/>
      <c r="D1281" s="83"/>
      <c r="E1281" s="83"/>
      <c r="F1281" s="83"/>
      <c r="G1281" s="31"/>
      <c r="H1281" s="31"/>
    </row>
    <row r="1282" spans="1:8">
      <c r="A1282" s="31"/>
      <c r="B1282" s="105"/>
      <c r="C1282" s="112"/>
      <c r="D1282" s="83"/>
      <c r="E1282" s="83"/>
      <c r="F1282" s="83"/>
      <c r="G1282" s="31"/>
      <c r="H1282" s="31"/>
    </row>
    <row r="1283" spans="1:8">
      <c r="A1283" s="31"/>
      <c r="B1283" s="105"/>
      <c r="C1283" s="112"/>
      <c r="D1283" s="83"/>
      <c r="E1283" s="83"/>
      <c r="F1283" s="83"/>
      <c r="G1283" s="31"/>
      <c r="H1283" s="31"/>
    </row>
    <row r="1284" spans="1:8">
      <c r="A1284" s="31"/>
      <c r="B1284" s="105"/>
      <c r="C1284" s="112"/>
      <c r="D1284" s="83"/>
      <c r="E1284" s="83"/>
      <c r="F1284" s="83"/>
      <c r="G1284" s="31"/>
      <c r="H1284" s="31"/>
    </row>
    <row r="1285" spans="1:8">
      <c r="A1285" s="31"/>
      <c r="B1285" s="105"/>
      <c r="C1285" s="112"/>
      <c r="D1285" s="83"/>
      <c r="E1285" s="83"/>
      <c r="F1285" s="83"/>
      <c r="G1285" s="31"/>
      <c r="H1285" s="31"/>
    </row>
    <row r="1286" spans="1:8">
      <c r="A1286" s="31"/>
      <c r="B1286" s="105"/>
      <c r="C1286" s="112"/>
      <c r="D1286" s="83"/>
      <c r="E1286" s="83"/>
      <c r="F1286" s="83"/>
      <c r="G1286" s="31"/>
      <c r="H1286" s="31"/>
    </row>
    <row r="1287" spans="1:8">
      <c r="A1287" s="31"/>
      <c r="B1287" s="105"/>
      <c r="C1287" s="112"/>
      <c r="D1287" s="83"/>
      <c r="E1287" s="83"/>
      <c r="F1287" s="83"/>
      <c r="G1287" s="31"/>
      <c r="H1287" s="31"/>
    </row>
    <row r="1288" spans="1:8">
      <c r="A1288" s="31"/>
      <c r="B1288" s="105"/>
      <c r="C1288" s="112"/>
      <c r="D1288" s="83"/>
      <c r="E1288" s="83"/>
      <c r="F1288" s="83"/>
      <c r="G1288" s="31"/>
      <c r="H1288" s="31"/>
    </row>
    <row r="1289" spans="1:8">
      <c r="A1289" s="31"/>
      <c r="B1289" s="105"/>
      <c r="C1289" s="112"/>
      <c r="D1289" s="83"/>
      <c r="E1289" s="83"/>
      <c r="F1289" s="83"/>
      <c r="G1289" s="31"/>
      <c r="H1289" s="31"/>
    </row>
    <row r="1290" spans="1:8">
      <c r="A1290" s="31"/>
      <c r="B1290" s="105"/>
      <c r="C1290" s="112"/>
      <c r="D1290" s="83"/>
      <c r="E1290" s="83"/>
      <c r="F1290" s="83"/>
      <c r="G1290" s="31"/>
      <c r="H1290" s="31"/>
    </row>
    <row r="1291" spans="1:8">
      <c r="A1291" s="31"/>
      <c r="B1291" s="105"/>
      <c r="C1291" s="112"/>
      <c r="D1291" s="83"/>
      <c r="E1291" s="83"/>
      <c r="F1291" s="83"/>
      <c r="G1291" s="31"/>
      <c r="H1291" s="31"/>
    </row>
    <row r="1292" spans="1:8">
      <c r="A1292" s="31"/>
      <c r="B1292" s="105"/>
      <c r="C1292" s="112"/>
      <c r="D1292" s="83"/>
      <c r="E1292" s="83"/>
      <c r="F1292" s="83"/>
      <c r="G1292" s="31"/>
      <c r="H1292" s="31"/>
    </row>
    <row r="1293" spans="1:8">
      <c r="A1293" s="31"/>
      <c r="B1293" s="105"/>
      <c r="C1293" s="112"/>
      <c r="D1293" s="83"/>
      <c r="E1293" s="83"/>
      <c r="F1293" s="83"/>
      <c r="G1293" s="31"/>
      <c r="H1293" s="31"/>
    </row>
    <row r="1294" spans="1:8">
      <c r="A1294" s="31"/>
      <c r="B1294" s="105"/>
      <c r="C1294" s="112"/>
      <c r="D1294" s="83"/>
      <c r="E1294" s="83"/>
      <c r="F1294" s="83"/>
      <c r="G1294" s="31"/>
      <c r="H1294" s="31"/>
    </row>
    <row r="1295" spans="1:8">
      <c r="A1295" s="31"/>
      <c r="B1295" s="105"/>
      <c r="C1295" s="112"/>
      <c r="D1295" s="83"/>
      <c r="E1295" s="83"/>
      <c r="F1295" s="83"/>
      <c r="G1295" s="31"/>
      <c r="H1295" s="31"/>
    </row>
    <row r="1296" spans="1:8">
      <c r="A1296" s="31"/>
      <c r="B1296" s="105"/>
      <c r="C1296" s="112"/>
      <c r="D1296" s="83"/>
      <c r="E1296" s="83"/>
      <c r="F1296" s="83"/>
      <c r="G1296" s="31"/>
      <c r="H1296" s="31"/>
    </row>
    <row r="1297" spans="1:8">
      <c r="A1297" s="31"/>
      <c r="B1297" s="105"/>
      <c r="C1297" s="112"/>
      <c r="D1297" s="83"/>
      <c r="E1297" s="83"/>
      <c r="F1297" s="83"/>
      <c r="G1297" s="31"/>
      <c r="H1297" s="31"/>
    </row>
    <row r="1298" spans="1:8">
      <c r="A1298" s="31"/>
      <c r="B1298" s="105"/>
      <c r="C1298" s="112"/>
      <c r="D1298" s="83"/>
      <c r="E1298" s="83"/>
      <c r="F1298" s="83"/>
      <c r="G1298" s="31"/>
      <c r="H1298" s="31"/>
    </row>
    <row r="1299" spans="1:8">
      <c r="A1299" s="31"/>
      <c r="B1299" s="105"/>
      <c r="C1299" s="112"/>
      <c r="D1299" s="83"/>
      <c r="E1299" s="83"/>
      <c r="F1299" s="83"/>
      <c r="G1299" s="31"/>
      <c r="H1299" s="31"/>
    </row>
    <row r="1300" spans="1:8">
      <c r="A1300" s="31"/>
      <c r="B1300" s="105"/>
      <c r="C1300" s="112"/>
      <c r="D1300" s="83"/>
      <c r="E1300" s="83"/>
      <c r="F1300" s="83"/>
      <c r="G1300" s="31"/>
      <c r="H1300" s="31"/>
    </row>
    <row r="1301" spans="1:8">
      <c r="A1301" s="31"/>
      <c r="B1301" s="105"/>
      <c r="C1301" s="112"/>
      <c r="D1301" s="83"/>
      <c r="E1301" s="83"/>
      <c r="F1301" s="83"/>
      <c r="G1301" s="31"/>
      <c r="H1301" s="31"/>
    </row>
    <row r="1302" spans="1:8">
      <c r="A1302" s="31"/>
      <c r="B1302" s="105"/>
      <c r="C1302" s="112"/>
      <c r="D1302" s="83"/>
      <c r="E1302" s="83"/>
      <c r="F1302" s="83"/>
      <c r="G1302" s="31"/>
      <c r="H1302" s="31"/>
    </row>
    <row r="1303" spans="1:8">
      <c r="A1303" s="31"/>
      <c r="B1303" s="105"/>
      <c r="C1303" s="112"/>
      <c r="D1303" s="83"/>
      <c r="E1303" s="83"/>
      <c r="F1303" s="83"/>
      <c r="G1303" s="31"/>
      <c r="H1303" s="31"/>
    </row>
    <row r="1304" spans="1:8">
      <c r="A1304" s="31"/>
      <c r="B1304" s="105"/>
      <c r="C1304" s="112"/>
      <c r="D1304" s="83"/>
      <c r="E1304" s="83"/>
      <c r="F1304" s="83"/>
      <c r="G1304" s="31"/>
      <c r="H1304" s="31"/>
    </row>
    <row r="1305" spans="1:8">
      <c r="A1305" s="31"/>
      <c r="B1305" s="105"/>
      <c r="C1305" s="112"/>
      <c r="D1305" s="83"/>
      <c r="E1305" s="83"/>
      <c r="F1305" s="83"/>
      <c r="G1305" s="31"/>
      <c r="H1305" s="31"/>
    </row>
    <row r="1306" spans="1:8">
      <c r="A1306" s="31"/>
      <c r="B1306" s="105"/>
      <c r="C1306" s="112"/>
      <c r="D1306" s="83"/>
      <c r="E1306" s="83"/>
      <c r="F1306" s="83"/>
      <c r="G1306" s="31"/>
      <c r="H1306" s="31"/>
    </row>
    <row r="1307" spans="1:8">
      <c r="A1307" s="31"/>
      <c r="B1307" s="105"/>
      <c r="C1307" s="112"/>
      <c r="D1307" s="83"/>
      <c r="E1307" s="83"/>
      <c r="F1307" s="83"/>
      <c r="G1307" s="31"/>
      <c r="H1307" s="31"/>
    </row>
    <row r="1308" spans="1:8">
      <c r="A1308" s="31"/>
      <c r="B1308" s="105"/>
      <c r="C1308" s="112"/>
      <c r="D1308" s="83"/>
      <c r="E1308" s="83"/>
      <c r="F1308" s="83"/>
      <c r="G1308" s="31"/>
      <c r="H1308" s="31"/>
    </row>
    <row r="1309" spans="1:8">
      <c r="A1309" s="31"/>
      <c r="B1309" s="105"/>
      <c r="C1309" s="112"/>
      <c r="D1309" s="83"/>
      <c r="E1309" s="83"/>
      <c r="F1309" s="83"/>
      <c r="G1309" s="31"/>
      <c r="H1309" s="31"/>
    </row>
    <row r="1310" spans="1:8">
      <c r="A1310" s="31"/>
      <c r="B1310" s="105"/>
      <c r="C1310" s="112"/>
      <c r="D1310" s="83"/>
      <c r="E1310" s="83"/>
      <c r="F1310" s="83"/>
      <c r="G1310" s="31"/>
      <c r="H1310" s="31"/>
    </row>
    <row r="1311" spans="1:8">
      <c r="A1311" s="31"/>
      <c r="B1311" s="105"/>
      <c r="C1311" s="112"/>
      <c r="D1311" s="83"/>
      <c r="E1311" s="83"/>
      <c r="F1311" s="83"/>
      <c r="G1311" s="31"/>
      <c r="H1311" s="31"/>
    </row>
    <row r="1312" spans="1:8">
      <c r="A1312" s="31"/>
      <c r="B1312" s="105"/>
      <c r="C1312" s="112"/>
      <c r="D1312" s="83"/>
      <c r="E1312" s="83"/>
      <c r="F1312" s="83"/>
      <c r="G1312" s="31"/>
      <c r="H1312" s="31"/>
    </row>
    <row r="1313" spans="1:8">
      <c r="A1313" s="31"/>
      <c r="B1313" s="105"/>
      <c r="C1313" s="112"/>
      <c r="D1313" s="83"/>
      <c r="E1313" s="83"/>
      <c r="F1313" s="83"/>
      <c r="G1313" s="31"/>
      <c r="H1313" s="31"/>
    </row>
    <row r="1314" spans="1:8">
      <c r="A1314" s="31"/>
      <c r="B1314" s="105"/>
      <c r="C1314" s="112"/>
      <c r="D1314" s="83"/>
      <c r="E1314" s="83"/>
      <c r="F1314" s="83"/>
      <c r="G1314" s="31"/>
      <c r="H1314" s="31"/>
    </row>
    <row r="1315" spans="1:8">
      <c r="A1315" s="31"/>
      <c r="B1315" s="105"/>
      <c r="C1315" s="112"/>
      <c r="D1315" s="83"/>
      <c r="E1315" s="83"/>
      <c r="F1315" s="83"/>
      <c r="G1315" s="31"/>
      <c r="H1315" s="31"/>
    </row>
    <row r="1316" spans="1:8">
      <c r="A1316" s="31"/>
      <c r="B1316" s="105"/>
      <c r="C1316" s="112"/>
      <c r="D1316" s="83"/>
      <c r="E1316" s="83"/>
      <c r="F1316" s="83"/>
      <c r="G1316" s="31"/>
      <c r="H1316" s="31"/>
    </row>
    <row r="1317" spans="1:8">
      <c r="A1317" s="31"/>
      <c r="B1317" s="105"/>
      <c r="C1317" s="112"/>
      <c r="D1317" s="83"/>
      <c r="E1317" s="83"/>
      <c r="F1317" s="83"/>
      <c r="G1317" s="31"/>
      <c r="H1317" s="31"/>
    </row>
    <row r="1318" spans="1:8">
      <c r="A1318" s="31"/>
      <c r="B1318" s="105"/>
      <c r="C1318" s="112"/>
      <c r="D1318" s="83"/>
      <c r="E1318" s="83"/>
      <c r="F1318" s="83"/>
      <c r="G1318" s="31"/>
      <c r="H1318" s="31"/>
    </row>
    <row r="1319" spans="1:8">
      <c r="A1319" s="31"/>
      <c r="B1319" s="105"/>
      <c r="C1319" s="112"/>
      <c r="D1319" s="83"/>
      <c r="E1319" s="83"/>
      <c r="F1319" s="83"/>
      <c r="G1319" s="31"/>
      <c r="H1319" s="31"/>
    </row>
    <row r="1320" spans="1:8">
      <c r="A1320" s="31"/>
      <c r="B1320" s="105"/>
      <c r="C1320" s="112"/>
      <c r="D1320" s="83"/>
      <c r="E1320" s="83"/>
      <c r="F1320" s="83"/>
      <c r="G1320" s="31"/>
      <c r="H1320" s="31"/>
    </row>
    <row r="1321" spans="1:8">
      <c r="A1321" s="31"/>
      <c r="B1321" s="105"/>
      <c r="C1321" s="112"/>
      <c r="D1321" s="83"/>
      <c r="E1321" s="83"/>
      <c r="F1321" s="83"/>
      <c r="G1321" s="31"/>
      <c r="H1321" s="31"/>
    </row>
    <row r="1322" spans="1:8">
      <c r="A1322" s="31"/>
      <c r="B1322" s="105"/>
      <c r="C1322" s="112"/>
      <c r="D1322" s="83"/>
      <c r="E1322" s="83"/>
      <c r="F1322" s="83"/>
      <c r="G1322" s="31"/>
      <c r="H1322" s="31"/>
    </row>
    <row r="1323" spans="1:8">
      <c r="A1323" s="31"/>
      <c r="B1323" s="105"/>
      <c r="C1323" s="112"/>
      <c r="D1323" s="83"/>
      <c r="E1323" s="83"/>
      <c r="F1323" s="83"/>
      <c r="G1323" s="31"/>
      <c r="H1323" s="31"/>
    </row>
    <row r="1324" spans="1:8">
      <c r="A1324" s="31"/>
      <c r="B1324" s="105"/>
      <c r="C1324" s="112"/>
      <c r="D1324" s="83"/>
      <c r="E1324" s="83"/>
      <c r="F1324" s="83"/>
      <c r="G1324" s="31"/>
      <c r="H1324" s="31"/>
    </row>
    <row r="1325" spans="1:8">
      <c r="A1325" s="31"/>
      <c r="B1325" s="105"/>
      <c r="C1325" s="112"/>
      <c r="D1325" s="83"/>
      <c r="E1325" s="83"/>
      <c r="F1325" s="83"/>
      <c r="G1325" s="31"/>
      <c r="H1325" s="31"/>
    </row>
    <row r="1326" spans="1:8">
      <c r="A1326" s="31"/>
      <c r="B1326" s="105"/>
      <c r="C1326" s="112"/>
      <c r="D1326" s="83"/>
      <c r="E1326" s="83"/>
      <c r="F1326" s="83"/>
      <c r="G1326" s="31"/>
      <c r="H1326" s="31"/>
    </row>
    <row r="1327" spans="1:8">
      <c r="A1327" s="31"/>
      <c r="B1327" s="105"/>
      <c r="C1327" s="112"/>
      <c r="D1327" s="83"/>
      <c r="E1327" s="83"/>
      <c r="F1327" s="83"/>
      <c r="G1327" s="31"/>
      <c r="H1327" s="31"/>
    </row>
    <row r="1328" spans="1:8">
      <c r="A1328" s="31"/>
      <c r="B1328" s="105"/>
      <c r="C1328" s="112"/>
      <c r="D1328" s="83"/>
      <c r="E1328" s="83"/>
      <c r="F1328" s="83"/>
      <c r="G1328" s="31"/>
      <c r="H1328" s="31"/>
    </row>
    <row r="1329" spans="1:8">
      <c r="A1329" s="31"/>
      <c r="B1329" s="105"/>
      <c r="C1329" s="112"/>
      <c r="D1329" s="83"/>
      <c r="E1329" s="83"/>
      <c r="F1329" s="83"/>
      <c r="G1329" s="31"/>
      <c r="H1329" s="31"/>
    </row>
    <row r="1330" spans="1:8">
      <c r="A1330" s="31"/>
      <c r="B1330" s="105"/>
      <c r="C1330" s="112"/>
      <c r="D1330" s="83"/>
      <c r="E1330" s="83"/>
      <c r="F1330" s="83"/>
      <c r="G1330" s="31"/>
      <c r="H1330" s="31"/>
    </row>
    <row r="1331" spans="1:8">
      <c r="A1331" s="31"/>
      <c r="B1331" s="105"/>
      <c r="C1331" s="112"/>
      <c r="D1331" s="83"/>
      <c r="E1331" s="83"/>
      <c r="F1331" s="83"/>
      <c r="G1331" s="31"/>
      <c r="H1331" s="31"/>
    </row>
    <row r="1332" spans="1:8">
      <c r="A1332" s="31"/>
      <c r="B1332" s="105"/>
      <c r="C1332" s="112"/>
      <c r="D1332" s="83"/>
      <c r="E1332" s="83"/>
      <c r="F1332" s="83"/>
      <c r="G1332" s="31"/>
      <c r="H1332" s="31"/>
    </row>
    <row r="1333" spans="1:8">
      <c r="A1333" s="31"/>
      <c r="B1333" s="105"/>
      <c r="C1333" s="112"/>
      <c r="D1333" s="83"/>
      <c r="E1333" s="83"/>
      <c r="F1333" s="83"/>
      <c r="G1333" s="31"/>
      <c r="H1333" s="31"/>
    </row>
    <row r="1334" spans="1:8">
      <c r="A1334" s="31"/>
      <c r="B1334" s="105"/>
      <c r="C1334" s="112"/>
      <c r="D1334" s="83"/>
      <c r="E1334" s="83"/>
      <c r="F1334" s="83"/>
      <c r="G1334" s="31"/>
      <c r="H1334" s="31"/>
    </row>
    <row r="1335" spans="1:8">
      <c r="A1335" s="31"/>
      <c r="B1335" s="105"/>
      <c r="C1335" s="112"/>
      <c r="D1335" s="83"/>
      <c r="E1335" s="83"/>
      <c r="F1335" s="83"/>
      <c r="G1335" s="31"/>
      <c r="H1335" s="31"/>
    </row>
    <row r="1336" spans="1:8">
      <c r="A1336" s="31"/>
      <c r="B1336" s="105"/>
      <c r="C1336" s="112"/>
      <c r="D1336" s="83"/>
      <c r="E1336" s="83"/>
      <c r="F1336" s="83"/>
      <c r="G1336" s="31"/>
      <c r="H1336" s="31"/>
    </row>
    <row r="1337" spans="1:8">
      <c r="A1337" s="31"/>
      <c r="B1337" s="105"/>
      <c r="C1337" s="112"/>
      <c r="D1337" s="83"/>
      <c r="E1337" s="83"/>
      <c r="F1337" s="83"/>
      <c r="G1337" s="31"/>
      <c r="H1337" s="31"/>
    </row>
    <row r="1338" spans="1:8">
      <c r="A1338" s="31"/>
      <c r="B1338" s="105"/>
      <c r="C1338" s="112"/>
      <c r="D1338" s="83"/>
      <c r="E1338" s="83"/>
      <c r="F1338" s="83"/>
      <c r="G1338" s="31"/>
      <c r="H1338" s="31"/>
    </row>
    <row r="1339" spans="1:8">
      <c r="A1339" s="31"/>
      <c r="B1339" s="105"/>
      <c r="C1339" s="112"/>
      <c r="D1339" s="83"/>
      <c r="E1339" s="83"/>
      <c r="F1339" s="83"/>
      <c r="G1339" s="31"/>
      <c r="H1339" s="31"/>
    </row>
    <row r="1340" spans="1:8">
      <c r="A1340" s="31"/>
      <c r="B1340" s="105"/>
      <c r="C1340" s="112"/>
      <c r="D1340" s="83"/>
      <c r="E1340" s="83"/>
      <c r="F1340" s="83"/>
      <c r="G1340" s="31"/>
      <c r="H1340" s="31"/>
    </row>
    <row r="1341" spans="1:8">
      <c r="A1341" s="31"/>
      <c r="B1341" s="105"/>
      <c r="C1341" s="112"/>
      <c r="D1341" s="83"/>
      <c r="E1341" s="83"/>
      <c r="F1341" s="83"/>
      <c r="G1341" s="31"/>
      <c r="H1341" s="31"/>
    </row>
    <row r="1342" spans="1:8">
      <c r="A1342" s="31"/>
      <c r="B1342" s="105"/>
      <c r="C1342" s="112"/>
      <c r="D1342" s="83"/>
      <c r="E1342" s="83"/>
      <c r="F1342" s="83"/>
      <c r="G1342" s="31"/>
      <c r="H1342" s="31"/>
    </row>
    <row r="1343" spans="1:8">
      <c r="A1343" s="31"/>
      <c r="B1343" s="105"/>
      <c r="C1343" s="112"/>
      <c r="D1343" s="83"/>
      <c r="E1343" s="83"/>
      <c r="F1343" s="83"/>
      <c r="G1343" s="31"/>
      <c r="H1343" s="31"/>
    </row>
    <row r="1344" spans="1:8">
      <c r="A1344" s="31"/>
      <c r="B1344" s="105"/>
      <c r="C1344" s="112"/>
      <c r="D1344" s="83"/>
      <c r="E1344" s="83"/>
      <c r="F1344" s="83"/>
      <c r="G1344" s="31"/>
      <c r="H1344" s="31"/>
    </row>
    <row r="1345" spans="1:8">
      <c r="A1345" s="31"/>
      <c r="B1345" s="105"/>
      <c r="C1345" s="112"/>
      <c r="D1345" s="83"/>
      <c r="E1345" s="83"/>
      <c r="F1345" s="83"/>
      <c r="G1345" s="31"/>
      <c r="H1345" s="31"/>
    </row>
    <row r="1346" spans="1:8">
      <c r="A1346" s="31"/>
      <c r="B1346" s="105"/>
      <c r="C1346" s="112"/>
      <c r="D1346" s="83"/>
      <c r="E1346" s="83"/>
      <c r="F1346" s="83"/>
      <c r="G1346" s="31"/>
      <c r="H1346" s="31"/>
    </row>
    <row r="1347" spans="1:8">
      <c r="A1347" s="31"/>
      <c r="B1347" s="105"/>
      <c r="C1347" s="112"/>
      <c r="D1347" s="83"/>
      <c r="E1347" s="83"/>
      <c r="F1347" s="83"/>
      <c r="G1347" s="31"/>
      <c r="H1347" s="31"/>
    </row>
    <row r="1348" spans="1:8">
      <c r="A1348" s="31"/>
      <c r="B1348" s="105"/>
      <c r="C1348" s="112"/>
      <c r="D1348" s="83"/>
      <c r="E1348" s="83"/>
      <c r="F1348" s="83"/>
      <c r="G1348" s="31"/>
      <c r="H1348" s="31"/>
    </row>
    <row r="1349" spans="1:8">
      <c r="A1349" s="31"/>
      <c r="B1349" s="105"/>
      <c r="C1349" s="112"/>
      <c r="D1349" s="83"/>
      <c r="E1349" s="83"/>
      <c r="F1349" s="83"/>
      <c r="G1349" s="31"/>
      <c r="H1349" s="31"/>
    </row>
    <row r="1350" spans="1:8">
      <c r="A1350" s="31"/>
      <c r="B1350" s="105"/>
      <c r="C1350" s="112"/>
      <c r="D1350" s="83"/>
      <c r="E1350" s="83"/>
      <c r="F1350" s="83"/>
      <c r="G1350" s="31"/>
      <c r="H1350" s="31"/>
    </row>
    <row r="1351" spans="1:8">
      <c r="A1351" s="31"/>
      <c r="B1351" s="105"/>
      <c r="C1351" s="112"/>
      <c r="D1351" s="83"/>
      <c r="E1351" s="83"/>
      <c r="F1351" s="83"/>
      <c r="G1351" s="31"/>
      <c r="H1351" s="31"/>
    </row>
    <row r="1352" spans="1:8">
      <c r="A1352" s="31"/>
      <c r="B1352" s="105"/>
      <c r="C1352" s="112"/>
      <c r="D1352" s="83"/>
      <c r="E1352" s="83"/>
      <c r="F1352" s="83"/>
      <c r="G1352" s="31"/>
      <c r="H1352" s="31"/>
    </row>
    <row r="1353" spans="1:8">
      <c r="A1353" s="31"/>
      <c r="B1353" s="105"/>
      <c r="C1353" s="112"/>
      <c r="D1353" s="83"/>
      <c r="E1353" s="83"/>
      <c r="F1353" s="83"/>
      <c r="G1353" s="31"/>
      <c r="H1353" s="31"/>
    </row>
    <row r="1354" spans="1:8">
      <c r="A1354" s="31"/>
      <c r="B1354" s="105"/>
      <c r="C1354" s="112"/>
      <c r="D1354" s="83"/>
      <c r="E1354" s="83"/>
      <c r="F1354" s="83"/>
      <c r="G1354" s="31"/>
      <c r="H1354" s="31"/>
    </row>
    <row r="1355" spans="1:8">
      <c r="A1355" s="31"/>
      <c r="B1355" s="105"/>
      <c r="C1355" s="112"/>
      <c r="D1355" s="83"/>
      <c r="E1355" s="83"/>
      <c r="F1355" s="83"/>
      <c r="G1355" s="31"/>
      <c r="H1355" s="31"/>
    </row>
    <row r="1356" spans="1:8">
      <c r="A1356" s="31"/>
      <c r="B1356" s="105"/>
      <c r="C1356" s="112"/>
      <c r="D1356" s="83"/>
      <c r="E1356" s="83"/>
      <c r="F1356" s="83"/>
      <c r="G1356" s="31"/>
      <c r="H1356" s="31"/>
    </row>
    <row r="1357" spans="1:8">
      <c r="A1357" s="31"/>
      <c r="B1357" s="105"/>
      <c r="C1357" s="112"/>
      <c r="D1357" s="83"/>
      <c r="E1357" s="83"/>
      <c r="F1357" s="83"/>
      <c r="G1357" s="31"/>
      <c r="H1357" s="31"/>
    </row>
    <row r="1358" spans="1:8">
      <c r="A1358" s="31"/>
      <c r="B1358" s="105"/>
      <c r="C1358" s="112"/>
      <c r="D1358" s="83"/>
      <c r="E1358" s="83"/>
      <c r="F1358" s="83"/>
      <c r="G1358" s="31"/>
      <c r="H1358" s="31"/>
    </row>
    <row r="1359" spans="1:8">
      <c r="A1359" s="31"/>
      <c r="B1359" s="105"/>
      <c r="C1359" s="112"/>
      <c r="D1359" s="83"/>
      <c r="E1359" s="83"/>
      <c r="F1359" s="83"/>
      <c r="G1359" s="31"/>
      <c r="H1359" s="31"/>
    </row>
    <row r="1360" spans="1:8">
      <c r="A1360" s="31"/>
      <c r="B1360" s="105"/>
      <c r="C1360" s="112"/>
      <c r="D1360" s="83"/>
      <c r="E1360" s="83"/>
      <c r="F1360" s="83"/>
      <c r="G1360" s="31"/>
      <c r="H1360" s="31"/>
    </row>
    <row r="1361" spans="1:8">
      <c r="A1361" s="31"/>
      <c r="B1361" s="105"/>
      <c r="C1361" s="112"/>
      <c r="D1361" s="83"/>
      <c r="E1361" s="83"/>
      <c r="F1361" s="83"/>
      <c r="G1361" s="31"/>
      <c r="H1361" s="31"/>
    </row>
    <row r="1362" spans="1:8">
      <c r="A1362" s="31"/>
      <c r="B1362" s="105"/>
      <c r="C1362" s="112"/>
      <c r="D1362" s="83"/>
      <c r="E1362" s="83"/>
      <c r="F1362" s="83"/>
      <c r="G1362" s="31"/>
      <c r="H1362" s="31"/>
    </row>
    <row r="1363" spans="1:8">
      <c r="A1363" s="31"/>
      <c r="B1363" s="105"/>
      <c r="C1363" s="112"/>
      <c r="D1363" s="83"/>
      <c r="E1363" s="83"/>
      <c r="F1363" s="83"/>
      <c r="G1363" s="31"/>
      <c r="H1363" s="31"/>
    </row>
    <row r="1364" spans="1:8">
      <c r="A1364" s="31"/>
      <c r="B1364" s="105"/>
      <c r="C1364" s="112"/>
      <c r="D1364" s="83"/>
      <c r="E1364" s="83"/>
      <c r="F1364" s="83"/>
      <c r="G1364" s="31"/>
      <c r="H1364" s="31"/>
    </row>
    <row r="1365" spans="1:8">
      <c r="A1365" s="31"/>
      <c r="B1365" s="105"/>
      <c r="C1365" s="112"/>
      <c r="D1365" s="83"/>
      <c r="E1365" s="83"/>
      <c r="F1365" s="83"/>
      <c r="G1365" s="31"/>
      <c r="H1365" s="31"/>
    </row>
    <row r="1366" spans="1:8">
      <c r="A1366" s="31"/>
      <c r="B1366" s="105"/>
      <c r="C1366" s="112"/>
      <c r="D1366" s="83"/>
      <c r="E1366" s="83"/>
      <c r="F1366" s="83"/>
      <c r="G1366" s="31"/>
      <c r="H1366" s="31"/>
    </row>
    <row r="1367" spans="1:8">
      <c r="A1367" s="31"/>
      <c r="B1367" s="105"/>
      <c r="C1367" s="112"/>
      <c r="D1367" s="83"/>
      <c r="E1367" s="83"/>
      <c r="F1367" s="83"/>
      <c r="G1367" s="31"/>
      <c r="H1367" s="31"/>
    </row>
    <row r="1368" spans="1:8">
      <c r="A1368" s="31"/>
      <c r="B1368" s="105"/>
      <c r="C1368" s="112"/>
      <c r="D1368" s="83"/>
      <c r="E1368" s="83"/>
      <c r="F1368" s="83"/>
      <c r="G1368" s="31"/>
      <c r="H1368" s="31"/>
    </row>
    <row r="1369" spans="1:8">
      <c r="A1369" s="31"/>
      <c r="B1369" s="105"/>
      <c r="C1369" s="112"/>
      <c r="D1369" s="83"/>
      <c r="E1369" s="83"/>
      <c r="F1369" s="83"/>
      <c r="G1369" s="31"/>
      <c r="H1369" s="31"/>
    </row>
    <row r="1370" spans="1:8">
      <c r="A1370" s="31"/>
      <c r="B1370" s="105"/>
      <c r="C1370" s="112"/>
      <c r="D1370" s="83"/>
      <c r="E1370" s="83"/>
      <c r="F1370" s="83"/>
      <c r="G1370" s="31"/>
      <c r="H1370" s="31"/>
    </row>
    <row r="1371" spans="1:8">
      <c r="A1371" s="31"/>
      <c r="B1371" s="105"/>
      <c r="C1371" s="112"/>
      <c r="D1371" s="83"/>
      <c r="E1371" s="83"/>
      <c r="F1371" s="83"/>
      <c r="G1371" s="31"/>
      <c r="H1371" s="31"/>
    </row>
    <row r="1372" spans="1:8">
      <c r="A1372" s="31"/>
      <c r="B1372" s="105"/>
      <c r="C1372" s="112"/>
      <c r="D1372" s="83"/>
      <c r="E1372" s="83"/>
      <c r="F1372" s="83"/>
      <c r="G1372" s="31"/>
      <c r="H1372" s="31"/>
    </row>
    <row r="1373" spans="1:8">
      <c r="A1373" s="31"/>
      <c r="B1373" s="105"/>
      <c r="C1373" s="112"/>
      <c r="D1373" s="83"/>
      <c r="E1373" s="83"/>
      <c r="F1373" s="83"/>
      <c r="G1373" s="31"/>
      <c r="H1373" s="31"/>
    </row>
    <row r="1374" spans="1:8">
      <c r="A1374" s="31"/>
      <c r="B1374" s="105"/>
      <c r="C1374" s="112"/>
      <c r="D1374" s="83"/>
      <c r="E1374" s="83"/>
      <c r="F1374" s="83"/>
      <c r="G1374" s="31"/>
      <c r="H1374" s="31"/>
    </row>
    <row r="1375" spans="1:8">
      <c r="A1375" s="31"/>
      <c r="B1375" s="105"/>
      <c r="C1375" s="112"/>
      <c r="D1375" s="83"/>
      <c r="E1375" s="83"/>
      <c r="F1375" s="83"/>
      <c r="G1375" s="31"/>
      <c r="H1375" s="31"/>
    </row>
    <row r="1376" spans="1:8">
      <c r="A1376" s="31"/>
      <c r="B1376" s="105"/>
      <c r="C1376" s="112"/>
      <c r="D1376" s="83"/>
      <c r="E1376" s="83"/>
      <c r="F1376" s="83"/>
      <c r="G1376" s="31"/>
      <c r="H1376" s="31"/>
    </row>
    <row r="1377" spans="1:8">
      <c r="A1377" s="31"/>
      <c r="B1377" s="105"/>
      <c r="C1377" s="112"/>
      <c r="D1377" s="83"/>
      <c r="E1377" s="83"/>
      <c r="F1377" s="83"/>
      <c r="G1377" s="31"/>
      <c r="H1377" s="31"/>
    </row>
    <row r="1378" spans="1:8">
      <c r="A1378" s="31"/>
      <c r="B1378" s="105"/>
      <c r="C1378" s="112"/>
      <c r="D1378" s="83"/>
      <c r="E1378" s="83"/>
      <c r="F1378" s="83"/>
      <c r="G1378" s="31"/>
      <c r="H1378" s="31"/>
    </row>
    <row r="1379" spans="1:8">
      <c r="A1379" s="31"/>
      <c r="B1379" s="105"/>
      <c r="C1379" s="112"/>
      <c r="D1379" s="83"/>
      <c r="E1379" s="83"/>
      <c r="F1379" s="83"/>
      <c r="G1379" s="31"/>
      <c r="H1379" s="31"/>
    </row>
    <row r="1380" spans="1:8">
      <c r="A1380" s="31"/>
      <c r="B1380" s="105"/>
      <c r="C1380" s="112"/>
      <c r="D1380" s="83"/>
      <c r="E1380" s="83"/>
      <c r="F1380" s="83"/>
      <c r="G1380" s="31"/>
      <c r="H1380" s="31"/>
    </row>
    <row r="1381" spans="1:8">
      <c r="A1381" s="31"/>
      <c r="B1381" s="105"/>
      <c r="C1381" s="112"/>
      <c r="D1381" s="83"/>
      <c r="E1381" s="83"/>
      <c r="F1381" s="83"/>
      <c r="G1381" s="31"/>
      <c r="H1381" s="31"/>
    </row>
    <row r="1382" spans="1:8">
      <c r="A1382" s="31"/>
      <c r="B1382" s="105"/>
      <c r="C1382" s="112"/>
      <c r="D1382" s="83"/>
      <c r="E1382" s="83"/>
      <c r="F1382" s="83"/>
      <c r="G1382" s="31"/>
      <c r="H1382" s="31"/>
    </row>
    <row r="1383" spans="1:8">
      <c r="A1383" s="31"/>
      <c r="B1383" s="105"/>
      <c r="C1383" s="112"/>
      <c r="D1383" s="83"/>
      <c r="E1383" s="83"/>
      <c r="F1383" s="83"/>
      <c r="G1383" s="31"/>
      <c r="H1383" s="31"/>
    </row>
    <row r="1384" spans="1:8">
      <c r="A1384" s="31"/>
      <c r="B1384" s="105"/>
      <c r="C1384" s="112"/>
      <c r="D1384" s="83"/>
      <c r="E1384" s="83"/>
      <c r="F1384" s="83"/>
      <c r="G1384" s="31"/>
      <c r="H1384" s="31"/>
    </row>
    <row r="1385" spans="1:8">
      <c r="A1385" s="31"/>
      <c r="B1385" s="105"/>
      <c r="C1385" s="112"/>
      <c r="D1385" s="83"/>
      <c r="E1385" s="83"/>
      <c r="F1385" s="83"/>
      <c r="G1385" s="31"/>
      <c r="H1385" s="31"/>
    </row>
    <row r="1386" spans="1:8">
      <c r="A1386" s="31"/>
      <c r="B1386" s="105"/>
      <c r="C1386" s="112"/>
      <c r="D1386" s="83"/>
      <c r="E1386" s="83"/>
      <c r="F1386" s="83"/>
      <c r="G1386" s="31"/>
      <c r="H1386" s="31"/>
    </row>
    <row r="1387" spans="1:8">
      <c r="A1387" s="31"/>
      <c r="B1387" s="105"/>
      <c r="C1387" s="112"/>
      <c r="D1387" s="83"/>
      <c r="E1387" s="83"/>
      <c r="F1387" s="83"/>
      <c r="G1387" s="31"/>
      <c r="H1387" s="31"/>
    </row>
    <row r="1388" spans="1:8">
      <c r="A1388" s="31"/>
      <c r="B1388" s="105"/>
      <c r="C1388" s="112"/>
      <c r="D1388" s="83"/>
      <c r="E1388" s="83"/>
      <c r="F1388" s="83"/>
      <c r="G1388" s="31"/>
      <c r="H1388" s="31"/>
    </row>
    <row r="1389" spans="1:8">
      <c r="A1389" s="31"/>
      <c r="B1389" s="105"/>
      <c r="C1389" s="112"/>
      <c r="D1389" s="83"/>
      <c r="E1389" s="83"/>
      <c r="F1389" s="83"/>
      <c r="G1389" s="31"/>
      <c r="H1389" s="31"/>
    </row>
    <row r="1390" spans="1:8">
      <c r="A1390" s="31"/>
      <c r="B1390" s="105"/>
      <c r="C1390" s="112"/>
      <c r="D1390" s="83"/>
      <c r="E1390" s="83"/>
      <c r="F1390" s="83"/>
      <c r="G1390" s="31"/>
      <c r="H1390" s="31"/>
    </row>
    <row r="1391" spans="1:8">
      <c r="A1391" s="31"/>
      <c r="B1391" s="105"/>
      <c r="C1391" s="112"/>
      <c r="D1391" s="83"/>
      <c r="E1391" s="83"/>
      <c r="F1391" s="83"/>
      <c r="G1391" s="31"/>
      <c r="H1391" s="31"/>
    </row>
    <row r="1392" spans="1:8">
      <c r="A1392" s="31"/>
      <c r="B1392" s="105"/>
      <c r="C1392" s="112"/>
      <c r="D1392" s="83"/>
      <c r="E1392" s="83"/>
      <c r="F1392" s="83"/>
      <c r="G1392" s="31"/>
      <c r="H1392" s="31"/>
    </row>
    <row r="1393" spans="1:8">
      <c r="A1393" s="31"/>
      <c r="B1393" s="105"/>
      <c r="C1393" s="112"/>
      <c r="D1393" s="83"/>
      <c r="E1393" s="83"/>
      <c r="F1393" s="83"/>
      <c r="G1393" s="31"/>
      <c r="H1393" s="31"/>
    </row>
    <row r="1394" spans="1:8">
      <c r="A1394" s="31"/>
      <c r="B1394" s="105"/>
      <c r="C1394" s="112"/>
      <c r="D1394" s="83"/>
      <c r="E1394" s="83"/>
      <c r="F1394" s="83"/>
      <c r="G1394" s="31"/>
      <c r="H1394" s="31"/>
    </row>
    <row r="1395" spans="1:8">
      <c r="A1395" s="31"/>
      <c r="B1395" s="105"/>
      <c r="C1395" s="112"/>
      <c r="D1395" s="83"/>
      <c r="E1395" s="83"/>
      <c r="F1395" s="83"/>
      <c r="G1395" s="31"/>
      <c r="H1395" s="31"/>
    </row>
    <row r="1396" spans="1:8">
      <c r="A1396" s="31"/>
      <c r="B1396" s="105"/>
      <c r="C1396" s="112"/>
      <c r="D1396" s="83"/>
      <c r="E1396" s="83"/>
      <c r="F1396" s="83"/>
      <c r="G1396" s="31"/>
      <c r="H1396" s="31"/>
    </row>
    <row r="1397" spans="1:8">
      <c r="A1397" s="31"/>
      <c r="B1397" s="105"/>
      <c r="C1397" s="112"/>
      <c r="D1397" s="83"/>
      <c r="E1397" s="83"/>
      <c r="F1397" s="83"/>
      <c r="G1397" s="31"/>
      <c r="H1397" s="31"/>
    </row>
    <row r="1398" spans="1:8">
      <c r="A1398" s="31"/>
      <c r="B1398" s="105"/>
      <c r="C1398" s="112"/>
      <c r="D1398" s="83"/>
      <c r="E1398" s="83"/>
      <c r="F1398" s="83"/>
      <c r="G1398" s="31"/>
      <c r="H1398" s="31"/>
    </row>
    <row r="1399" spans="1:8">
      <c r="A1399" s="31"/>
      <c r="B1399" s="105"/>
      <c r="C1399" s="112"/>
      <c r="D1399" s="83"/>
      <c r="E1399" s="83"/>
      <c r="F1399" s="83"/>
      <c r="G1399" s="31"/>
      <c r="H1399" s="31"/>
    </row>
    <row r="1400" spans="1:8">
      <c r="A1400" s="31"/>
      <c r="B1400" s="105"/>
      <c r="C1400" s="112"/>
      <c r="D1400" s="83"/>
      <c r="E1400" s="83"/>
      <c r="F1400" s="83"/>
      <c r="G1400" s="31"/>
      <c r="H1400" s="31"/>
    </row>
    <row r="1401" spans="1:8">
      <c r="A1401" s="31"/>
      <c r="B1401" s="105"/>
      <c r="C1401" s="112"/>
      <c r="D1401" s="83"/>
      <c r="E1401" s="83"/>
      <c r="F1401" s="83"/>
      <c r="G1401" s="31"/>
      <c r="H1401" s="31"/>
    </row>
    <row r="1402" spans="1:8">
      <c r="A1402" s="31"/>
      <c r="B1402" s="105"/>
      <c r="C1402" s="112"/>
      <c r="D1402" s="83"/>
      <c r="E1402" s="83"/>
      <c r="F1402" s="83"/>
      <c r="G1402" s="31"/>
      <c r="H1402" s="31"/>
    </row>
    <row r="1403" spans="1:8">
      <c r="A1403" s="31"/>
      <c r="B1403" s="105"/>
      <c r="C1403" s="112"/>
      <c r="D1403" s="83"/>
      <c r="E1403" s="83"/>
      <c r="F1403" s="83"/>
      <c r="G1403" s="31"/>
      <c r="H1403" s="31"/>
    </row>
    <row r="1404" spans="1:8">
      <c r="A1404" s="31"/>
      <c r="B1404" s="105"/>
      <c r="C1404" s="112"/>
      <c r="D1404" s="83"/>
      <c r="E1404" s="83"/>
      <c r="F1404" s="83"/>
      <c r="G1404" s="31"/>
      <c r="H1404" s="31"/>
    </row>
    <row r="1405" spans="1:8">
      <c r="A1405" s="31"/>
      <c r="B1405" s="105"/>
      <c r="C1405" s="112"/>
      <c r="D1405" s="83"/>
      <c r="E1405" s="83"/>
      <c r="F1405" s="83"/>
      <c r="G1405" s="31"/>
      <c r="H1405" s="31"/>
    </row>
    <row r="1406" spans="1:8">
      <c r="A1406" s="31"/>
      <c r="B1406" s="105"/>
      <c r="C1406" s="112"/>
      <c r="D1406" s="83"/>
      <c r="E1406" s="83"/>
      <c r="F1406" s="83"/>
      <c r="G1406" s="31"/>
      <c r="H1406" s="31"/>
    </row>
    <row r="1407" spans="1:8">
      <c r="A1407" s="31"/>
      <c r="B1407" s="105"/>
      <c r="C1407" s="112"/>
      <c r="D1407" s="83"/>
      <c r="E1407" s="83"/>
      <c r="F1407" s="83"/>
      <c r="G1407" s="31"/>
      <c r="H1407" s="31"/>
    </row>
    <row r="1408" spans="1:8">
      <c r="A1408" s="31"/>
      <c r="B1408" s="105"/>
      <c r="C1408" s="112"/>
      <c r="D1408" s="83"/>
      <c r="E1408" s="83"/>
      <c r="F1408" s="83"/>
      <c r="G1408" s="31"/>
      <c r="H1408" s="31"/>
    </row>
    <row r="1409" spans="1:8">
      <c r="A1409" s="31"/>
      <c r="B1409" s="105"/>
      <c r="C1409" s="112"/>
      <c r="D1409" s="83"/>
      <c r="E1409" s="83"/>
      <c r="F1409" s="83"/>
      <c r="G1409" s="31"/>
      <c r="H1409" s="31"/>
    </row>
    <row r="1410" spans="1:8">
      <c r="A1410" s="31"/>
      <c r="B1410" s="105"/>
      <c r="C1410" s="112"/>
      <c r="D1410" s="83"/>
      <c r="E1410" s="83"/>
      <c r="F1410" s="83"/>
      <c r="G1410" s="31"/>
      <c r="H1410" s="31"/>
    </row>
    <row r="1411" spans="1:8">
      <c r="A1411" s="31"/>
      <c r="B1411" s="105"/>
      <c r="C1411" s="112"/>
      <c r="D1411" s="83"/>
      <c r="E1411" s="83"/>
      <c r="F1411" s="83"/>
      <c r="G1411" s="31"/>
      <c r="H1411" s="31"/>
    </row>
    <row r="1412" spans="1:8">
      <c r="A1412" s="31"/>
      <c r="B1412" s="105"/>
      <c r="C1412" s="112"/>
      <c r="D1412" s="83"/>
      <c r="E1412" s="83"/>
      <c r="F1412" s="83"/>
      <c r="G1412" s="31"/>
      <c r="H1412" s="31"/>
    </row>
    <row r="1413" spans="1:8">
      <c r="A1413" s="31"/>
      <c r="B1413" s="105"/>
      <c r="C1413" s="112"/>
      <c r="D1413" s="83"/>
      <c r="E1413" s="83"/>
      <c r="F1413" s="83"/>
      <c r="G1413" s="31"/>
      <c r="H1413" s="31"/>
    </row>
    <row r="1414" spans="1:8">
      <c r="A1414" s="31"/>
      <c r="B1414" s="105"/>
      <c r="C1414" s="112"/>
      <c r="D1414" s="83"/>
      <c r="E1414" s="83"/>
      <c r="F1414" s="83"/>
      <c r="G1414" s="31"/>
      <c r="H1414" s="31"/>
    </row>
    <row r="1415" spans="1:8">
      <c r="A1415" s="31"/>
      <c r="B1415" s="105"/>
      <c r="C1415" s="112"/>
      <c r="D1415" s="83"/>
      <c r="E1415" s="83"/>
      <c r="F1415" s="83"/>
      <c r="G1415" s="31"/>
      <c r="H1415" s="31"/>
    </row>
    <row r="1416" spans="1:8">
      <c r="A1416" s="31"/>
      <c r="B1416" s="105"/>
      <c r="C1416" s="112"/>
      <c r="D1416" s="83"/>
      <c r="E1416" s="83"/>
      <c r="F1416" s="83"/>
      <c r="G1416" s="31"/>
      <c r="H1416" s="31"/>
    </row>
    <row r="1417" spans="1:8">
      <c r="A1417" s="31"/>
      <c r="B1417" s="105"/>
      <c r="C1417" s="112"/>
      <c r="D1417" s="83"/>
      <c r="E1417" s="83"/>
      <c r="F1417" s="83"/>
      <c r="G1417" s="31"/>
      <c r="H1417" s="31"/>
    </row>
    <row r="1418" spans="1:8">
      <c r="A1418" s="31"/>
      <c r="B1418" s="105"/>
      <c r="C1418" s="112"/>
      <c r="D1418" s="83"/>
      <c r="E1418" s="83"/>
      <c r="F1418" s="83"/>
      <c r="G1418" s="31"/>
      <c r="H1418" s="31"/>
    </row>
    <row r="1419" spans="1:8">
      <c r="A1419" s="31"/>
      <c r="B1419" s="105"/>
      <c r="C1419" s="112"/>
      <c r="D1419" s="83"/>
      <c r="E1419" s="83"/>
      <c r="F1419" s="83"/>
      <c r="G1419" s="31"/>
      <c r="H1419" s="31"/>
    </row>
    <row r="1420" spans="1:8">
      <c r="A1420" s="31"/>
      <c r="B1420" s="105"/>
      <c r="C1420" s="112"/>
      <c r="D1420" s="83"/>
      <c r="E1420" s="83"/>
      <c r="F1420" s="83"/>
      <c r="G1420" s="31"/>
      <c r="H1420" s="31"/>
    </row>
    <row r="1421" spans="1:8">
      <c r="A1421" s="31"/>
      <c r="B1421" s="105"/>
      <c r="C1421" s="112"/>
      <c r="D1421" s="83"/>
      <c r="E1421" s="83"/>
      <c r="F1421" s="83"/>
      <c r="G1421" s="31"/>
      <c r="H1421" s="31"/>
    </row>
    <row r="1422" spans="1:8">
      <c r="A1422" s="31"/>
      <c r="B1422" s="105"/>
      <c r="C1422" s="112"/>
      <c r="D1422" s="83"/>
      <c r="E1422" s="83"/>
      <c r="F1422" s="83"/>
      <c r="G1422" s="31"/>
      <c r="H1422" s="31"/>
    </row>
    <row r="1423" spans="1:8">
      <c r="A1423" s="31"/>
      <c r="B1423" s="105"/>
      <c r="C1423" s="112"/>
      <c r="D1423" s="83"/>
      <c r="E1423" s="83"/>
      <c r="F1423" s="83"/>
      <c r="G1423" s="31"/>
      <c r="H1423" s="31"/>
    </row>
    <row r="1424" spans="1:8">
      <c r="A1424" s="31"/>
      <c r="B1424" s="105"/>
      <c r="C1424" s="112"/>
      <c r="D1424" s="83"/>
      <c r="E1424" s="83"/>
      <c r="F1424" s="83"/>
      <c r="G1424" s="31"/>
      <c r="H1424" s="31"/>
    </row>
    <row r="1425" spans="1:8">
      <c r="A1425" s="31"/>
      <c r="B1425" s="105"/>
      <c r="C1425" s="112"/>
      <c r="D1425" s="83"/>
      <c r="E1425" s="83"/>
      <c r="F1425" s="83"/>
      <c r="G1425" s="31"/>
      <c r="H1425" s="31"/>
    </row>
    <row r="1426" spans="1:8">
      <c r="A1426" s="31"/>
      <c r="B1426" s="105"/>
      <c r="C1426" s="112"/>
      <c r="D1426" s="83"/>
      <c r="E1426" s="83"/>
      <c r="F1426" s="83"/>
      <c r="G1426" s="31"/>
      <c r="H1426" s="31"/>
    </row>
    <row r="1427" spans="1:8">
      <c r="A1427" s="31"/>
      <c r="B1427" s="105"/>
      <c r="C1427" s="112"/>
      <c r="D1427" s="83"/>
      <c r="E1427" s="83"/>
      <c r="F1427" s="83"/>
      <c r="G1427" s="31"/>
      <c r="H1427" s="31"/>
    </row>
    <row r="1428" spans="1:8">
      <c r="A1428" s="31"/>
      <c r="B1428" s="105"/>
      <c r="C1428" s="112"/>
      <c r="D1428" s="83"/>
      <c r="E1428" s="83"/>
      <c r="F1428" s="83"/>
      <c r="G1428" s="31"/>
      <c r="H1428" s="31"/>
    </row>
    <row r="1429" spans="1:8">
      <c r="A1429" s="31"/>
      <c r="B1429" s="105"/>
      <c r="C1429" s="112"/>
      <c r="D1429" s="83"/>
      <c r="E1429" s="83"/>
      <c r="F1429" s="83"/>
      <c r="G1429" s="31"/>
      <c r="H1429" s="31"/>
    </row>
    <row r="1430" spans="1:8">
      <c r="A1430" s="31"/>
      <c r="B1430" s="105"/>
      <c r="C1430" s="112"/>
      <c r="D1430" s="83"/>
      <c r="E1430" s="83"/>
      <c r="F1430" s="83"/>
      <c r="G1430" s="31"/>
      <c r="H1430" s="31"/>
    </row>
    <row r="1431" spans="1:8">
      <c r="A1431" s="31"/>
      <c r="B1431" s="105"/>
      <c r="C1431" s="112"/>
      <c r="D1431" s="83"/>
      <c r="E1431" s="83"/>
      <c r="F1431" s="83"/>
      <c r="G1431" s="31"/>
      <c r="H1431" s="31"/>
    </row>
    <row r="1432" spans="1:8">
      <c r="A1432" s="31"/>
      <c r="B1432" s="105"/>
      <c r="C1432" s="112"/>
      <c r="D1432" s="83"/>
      <c r="E1432" s="83"/>
      <c r="F1432" s="83"/>
      <c r="G1432" s="31"/>
      <c r="H1432" s="31"/>
    </row>
    <row r="1433" spans="1:8">
      <c r="A1433" s="31"/>
      <c r="B1433" s="105"/>
      <c r="C1433" s="112"/>
      <c r="D1433" s="83"/>
      <c r="E1433" s="83"/>
      <c r="F1433" s="83"/>
      <c r="G1433" s="31"/>
      <c r="H1433" s="31"/>
    </row>
    <row r="1434" spans="1:8">
      <c r="A1434" s="31"/>
      <c r="B1434" s="105"/>
      <c r="C1434" s="112"/>
      <c r="D1434" s="83"/>
      <c r="E1434" s="83"/>
      <c r="F1434" s="83"/>
      <c r="G1434" s="31"/>
      <c r="H1434" s="31"/>
    </row>
    <row r="1435" spans="1:8">
      <c r="A1435" s="31"/>
      <c r="B1435" s="105"/>
      <c r="C1435" s="112"/>
      <c r="D1435" s="83"/>
      <c r="E1435" s="83"/>
      <c r="F1435" s="83"/>
      <c r="G1435" s="31"/>
      <c r="H1435" s="31"/>
    </row>
    <row r="1436" spans="1:8">
      <c r="A1436" s="31"/>
      <c r="B1436" s="105"/>
      <c r="C1436" s="112"/>
      <c r="D1436" s="83"/>
      <c r="E1436" s="83"/>
      <c r="F1436" s="83"/>
      <c r="G1436" s="31"/>
      <c r="H1436" s="31"/>
    </row>
    <row r="1437" spans="1:8">
      <c r="A1437" s="31"/>
      <c r="B1437" s="105"/>
      <c r="C1437" s="112"/>
      <c r="D1437" s="83"/>
      <c r="E1437" s="83"/>
      <c r="F1437" s="83"/>
      <c r="G1437" s="31"/>
      <c r="H1437" s="31"/>
    </row>
    <row r="1438" spans="1:8">
      <c r="A1438" s="31"/>
      <c r="B1438" s="105"/>
      <c r="C1438" s="112"/>
      <c r="D1438" s="83"/>
      <c r="E1438" s="83"/>
      <c r="F1438" s="83"/>
      <c r="G1438" s="31"/>
      <c r="H1438" s="31"/>
    </row>
    <row r="1439" spans="1:8">
      <c r="A1439" s="31"/>
      <c r="B1439" s="105"/>
      <c r="C1439" s="112"/>
      <c r="D1439" s="83"/>
      <c r="E1439" s="83"/>
      <c r="F1439" s="83"/>
      <c r="G1439" s="31"/>
      <c r="H1439" s="31"/>
    </row>
    <row r="1440" spans="1:8">
      <c r="A1440" s="31"/>
      <c r="B1440" s="105"/>
      <c r="C1440" s="112"/>
      <c r="D1440" s="83"/>
      <c r="E1440" s="83"/>
      <c r="F1440" s="83"/>
      <c r="G1440" s="31"/>
      <c r="H1440" s="31"/>
    </row>
    <row r="1441" spans="1:8">
      <c r="A1441" s="31"/>
      <c r="B1441" s="105"/>
      <c r="C1441" s="112"/>
      <c r="D1441" s="83"/>
      <c r="E1441" s="83"/>
      <c r="F1441" s="83"/>
      <c r="G1441" s="31"/>
      <c r="H1441" s="31"/>
    </row>
    <row r="1442" spans="1:8">
      <c r="A1442" s="31"/>
      <c r="B1442" s="105"/>
      <c r="C1442" s="112"/>
      <c r="D1442" s="83"/>
      <c r="E1442" s="83"/>
      <c r="F1442" s="83"/>
      <c r="G1442" s="31"/>
      <c r="H1442" s="31"/>
    </row>
    <row r="1443" spans="1:8">
      <c r="A1443" s="31"/>
      <c r="B1443" s="105"/>
      <c r="C1443" s="112"/>
      <c r="D1443" s="83"/>
      <c r="E1443" s="83"/>
      <c r="F1443" s="83"/>
      <c r="G1443" s="31"/>
      <c r="H1443" s="31"/>
    </row>
    <row r="1444" spans="1:8">
      <c r="A1444" s="31"/>
      <c r="B1444" s="105"/>
      <c r="C1444" s="112"/>
      <c r="D1444" s="83"/>
      <c r="E1444" s="83"/>
      <c r="F1444" s="83"/>
      <c r="G1444" s="31"/>
      <c r="H1444" s="31"/>
    </row>
    <row r="1445" spans="1:8">
      <c r="A1445" s="31"/>
      <c r="B1445" s="105"/>
      <c r="C1445" s="112"/>
      <c r="D1445" s="83"/>
      <c r="E1445" s="83"/>
      <c r="F1445" s="83"/>
      <c r="G1445" s="31"/>
      <c r="H1445" s="31"/>
    </row>
    <row r="1446" spans="1:8">
      <c r="A1446" s="31"/>
      <c r="B1446" s="105"/>
      <c r="C1446" s="112"/>
      <c r="D1446" s="83"/>
      <c r="E1446" s="83"/>
      <c r="F1446" s="83"/>
      <c r="G1446" s="31"/>
      <c r="H1446" s="31"/>
    </row>
    <row r="1447" spans="1:8">
      <c r="A1447" s="31"/>
      <c r="B1447" s="105"/>
      <c r="C1447" s="112"/>
      <c r="D1447" s="83"/>
      <c r="E1447" s="83"/>
      <c r="F1447" s="83"/>
      <c r="G1447" s="31"/>
      <c r="H1447" s="31"/>
    </row>
    <row r="1448" spans="1:8">
      <c r="A1448" s="31"/>
      <c r="B1448" s="105"/>
      <c r="C1448" s="112"/>
      <c r="D1448" s="83"/>
      <c r="E1448" s="83"/>
      <c r="F1448" s="83"/>
      <c r="G1448" s="31"/>
      <c r="H1448" s="31"/>
    </row>
    <row r="1449" spans="1:8">
      <c r="A1449" s="31"/>
      <c r="B1449" s="105"/>
      <c r="C1449" s="112"/>
      <c r="D1449" s="83"/>
      <c r="E1449" s="83"/>
      <c r="F1449" s="83"/>
      <c r="G1449" s="31"/>
      <c r="H1449" s="31"/>
    </row>
    <row r="1450" spans="1:8">
      <c r="A1450" s="31"/>
      <c r="B1450" s="105"/>
      <c r="C1450" s="112"/>
      <c r="D1450" s="83"/>
      <c r="E1450" s="83"/>
      <c r="F1450" s="83"/>
      <c r="G1450" s="31"/>
      <c r="H1450" s="31"/>
    </row>
    <row r="1451" spans="1:8">
      <c r="A1451" s="31"/>
      <c r="B1451" s="105"/>
      <c r="C1451" s="112"/>
      <c r="D1451" s="83"/>
      <c r="E1451" s="83"/>
      <c r="F1451" s="83"/>
      <c r="G1451" s="31"/>
      <c r="H1451" s="31"/>
    </row>
    <row r="1452" spans="1:8">
      <c r="A1452" s="31"/>
      <c r="B1452" s="105"/>
      <c r="C1452" s="112"/>
      <c r="D1452" s="83"/>
      <c r="E1452" s="83"/>
      <c r="F1452" s="83"/>
      <c r="G1452" s="31"/>
      <c r="H1452" s="31"/>
    </row>
    <row r="1453" spans="1:8">
      <c r="A1453" s="31"/>
      <c r="B1453" s="105"/>
      <c r="C1453" s="112"/>
      <c r="D1453" s="83"/>
      <c r="E1453" s="83"/>
      <c r="F1453" s="83"/>
      <c r="G1453" s="31"/>
      <c r="H1453" s="31"/>
    </row>
    <row r="1454" spans="1:8">
      <c r="A1454" s="31"/>
      <c r="B1454" s="105"/>
      <c r="C1454" s="112"/>
      <c r="D1454" s="83"/>
      <c r="E1454" s="83"/>
      <c r="F1454" s="83"/>
      <c r="G1454" s="31"/>
      <c r="H1454" s="31"/>
    </row>
    <row r="1455" spans="1:8">
      <c r="A1455" s="31"/>
      <c r="B1455" s="105"/>
      <c r="C1455" s="112"/>
      <c r="D1455" s="83"/>
      <c r="E1455" s="83"/>
      <c r="F1455" s="83"/>
      <c r="G1455" s="31"/>
      <c r="H1455" s="31"/>
    </row>
    <row r="1456" spans="1:8">
      <c r="A1456" s="31"/>
      <c r="B1456" s="105"/>
      <c r="C1456" s="112"/>
      <c r="D1456" s="83"/>
      <c r="E1456" s="83"/>
      <c r="F1456" s="83"/>
      <c r="G1456" s="31"/>
      <c r="H1456" s="31"/>
    </row>
    <row r="1457" spans="1:8">
      <c r="A1457" s="31"/>
      <c r="B1457" s="105"/>
      <c r="C1457" s="112"/>
      <c r="D1457" s="83"/>
      <c r="E1457" s="83"/>
      <c r="F1457" s="83"/>
      <c r="G1457" s="31"/>
      <c r="H1457" s="31"/>
    </row>
    <row r="1458" spans="1:8">
      <c r="A1458" s="31"/>
      <c r="B1458" s="105"/>
      <c r="C1458" s="112"/>
      <c r="D1458" s="83"/>
      <c r="E1458" s="83"/>
      <c r="F1458" s="83"/>
      <c r="G1458" s="31"/>
      <c r="H1458" s="31"/>
    </row>
    <row r="1459" spans="1:8">
      <c r="A1459" s="31"/>
      <c r="B1459" s="105"/>
      <c r="C1459" s="112"/>
      <c r="D1459" s="83"/>
      <c r="E1459" s="83"/>
      <c r="F1459" s="83"/>
      <c r="G1459" s="31"/>
      <c r="H1459" s="31"/>
    </row>
    <row r="1460" spans="1:8">
      <c r="A1460" s="31"/>
      <c r="B1460" s="105"/>
      <c r="C1460" s="112"/>
      <c r="D1460" s="83"/>
      <c r="E1460" s="83"/>
      <c r="F1460" s="83"/>
      <c r="G1460" s="31"/>
      <c r="H1460" s="31"/>
    </row>
    <row r="1461" spans="1:8">
      <c r="A1461" s="31"/>
      <c r="B1461" s="105"/>
      <c r="C1461" s="112"/>
      <c r="D1461" s="83"/>
      <c r="E1461" s="83"/>
      <c r="F1461" s="83"/>
      <c r="G1461" s="31"/>
      <c r="H1461" s="31"/>
    </row>
    <row r="1462" spans="1:8">
      <c r="A1462" s="31"/>
      <c r="B1462" s="105"/>
      <c r="C1462" s="112"/>
      <c r="D1462" s="83"/>
      <c r="E1462" s="83"/>
      <c r="F1462" s="83"/>
      <c r="G1462" s="31"/>
      <c r="H1462" s="31"/>
    </row>
    <row r="1463" spans="1:8">
      <c r="A1463" s="31"/>
      <c r="B1463" s="105"/>
      <c r="C1463" s="112"/>
      <c r="D1463" s="83"/>
      <c r="E1463" s="83"/>
      <c r="F1463" s="83"/>
      <c r="G1463" s="31"/>
      <c r="H1463" s="31"/>
    </row>
    <row r="1464" spans="1:8">
      <c r="A1464" s="31"/>
      <c r="B1464" s="105"/>
      <c r="C1464" s="112"/>
      <c r="D1464" s="83"/>
      <c r="E1464" s="83"/>
      <c r="F1464" s="83"/>
      <c r="G1464" s="31"/>
      <c r="H1464" s="31"/>
    </row>
    <row r="1465" spans="1:8">
      <c r="A1465" s="31"/>
      <c r="B1465" s="105"/>
      <c r="C1465" s="112"/>
      <c r="D1465" s="83"/>
      <c r="E1465" s="83"/>
      <c r="F1465" s="83"/>
      <c r="G1465" s="31"/>
      <c r="H1465" s="31"/>
    </row>
    <row r="1466" spans="1:8">
      <c r="A1466" s="31"/>
      <c r="B1466" s="105"/>
      <c r="C1466" s="112"/>
      <c r="D1466" s="83"/>
      <c r="E1466" s="83"/>
      <c r="F1466" s="83"/>
      <c r="G1466" s="31"/>
      <c r="H1466" s="31"/>
    </row>
    <row r="1467" spans="1:8">
      <c r="A1467" s="31"/>
      <c r="B1467" s="105"/>
      <c r="C1467" s="112"/>
      <c r="D1467" s="83"/>
      <c r="E1467" s="83"/>
      <c r="F1467" s="83"/>
      <c r="G1467" s="31"/>
      <c r="H1467" s="31"/>
    </row>
    <row r="1468" spans="1:8">
      <c r="A1468" s="31"/>
      <c r="B1468" s="105"/>
      <c r="C1468" s="112"/>
      <c r="D1468" s="83"/>
      <c r="E1468" s="83"/>
      <c r="F1468" s="83"/>
      <c r="G1468" s="31"/>
      <c r="H1468" s="31"/>
    </row>
    <row r="1469" spans="1:8">
      <c r="A1469" s="31"/>
      <c r="B1469" s="105"/>
      <c r="C1469" s="112"/>
      <c r="D1469" s="83"/>
      <c r="E1469" s="83"/>
      <c r="F1469" s="83"/>
      <c r="G1469" s="31"/>
      <c r="H1469" s="31"/>
    </row>
    <row r="1470" spans="1:8">
      <c r="A1470" s="31"/>
      <c r="B1470" s="105"/>
      <c r="C1470" s="112"/>
      <c r="D1470" s="83"/>
      <c r="E1470" s="83"/>
      <c r="F1470" s="83"/>
      <c r="G1470" s="31"/>
      <c r="H1470" s="31"/>
    </row>
    <row r="1471" spans="1:8">
      <c r="A1471" s="31"/>
      <c r="B1471" s="105"/>
      <c r="C1471" s="112"/>
      <c r="D1471" s="83"/>
      <c r="E1471" s="83"/>
      <c r="F1471" s="83"/>
      <c r="G1471" s="31"/>
      <c r="H1471" s="31"/>
    </row>
    <row r="1472" spans="1:8">
      <c r="A1472" s="31"/>
      <c r="B1472" s="105"/>
      <c r="C1472" s="112"/>
      <c r="D1472" s="83"/>
      <c r="E1472" s="83"/>
      <c r="F1472" s="83"/>
      <c r="G1472" s="31"/>
      <c r="H1472" s="31"/>
    </row>
    <row r="1473" spans="1:8">
      <c r="A1473" s="31"/>
      <c r="B1473" s="105"/>
      <c r="C1473" s="112"/>
      <c r="D1473" s="83"/>
      <c r="E1473" s="83"/>
      <c r="F1473" s="83"/>
      <c r="G1473" s="31"/>
      <c r="H1473" s="31"/>
    </row>
    <row r="1474" spans="1:8">
      <c r="A1474" s="31"/>
      <c r="B1474" s="105"/>
      <c r="C1474" s="112"/>
      <c r="D1474" s="83"/>
      <c r="E1474" s="83"/>
      <c r="F1474" s="83"/>
      <c r="G1474" s="31"/>
      <c r="H1474" s="31"/>
    </row>
    <row r="1475" spans="1:8">
      <c r="A1475" s="31"/>
      <c r="B1475" s="105"/>
      <c r="C1475" s="112"/>
      <c r="D1475" s="83"/>
      <c r="E1475" s="83"/>
      <c r="F1475" s="83"/>
      <c r="G1475" s="31"/>
      <c r="H1475" s="31"/>
    </row>
    <row r="1476" spans="1:8">
      <c r="A1476" s="31"/>
      <c r="B1476" s="105"/>
      <c r="C1476" s="112"/>
      <c r="D1476" s="83"/>
      <c r="E1476" s="83"/>
      <c r="F1476" s="83"/>
      <c r="G1476" s="31"/>
      <c r="H1476" s="31"/>
    </row>
    <row r="1477" spans="1:8">
      <c r="A1477" s="31"/>
      <c r="B1477" s="105"/>
      <c r="C1477" s="112"/>
      <c r="D1477" s="83"/>
      <c r="E1477" s="83"/>
      <c r="F1477" s="83"/>
      <c r="G1477" s="31"/>
      <c r="H1477" s="31"/>
    </row>
    <row r="1478" spans="1:8">
      <c r="A1478" s="31"/>
      <c r="B1478" s="105"/>
      <c r="C1478" s="112"/>
      <c r="D1478" s="83"/>
      <c r="E1478" s="83"/>
      <c r="F1478" s="83"/>
      <c r="G1478" s="31"/>
      <c r="H1478" s="31"/>
    </row>
    <row r="1479" spans="1:8">
      <c r="A1479" s="31"/>
      <c r="B1479" s="105"/>
      <c r="C1479" s="112"/>
      <c r="D1479" s="83"/>
      <c r="E1479" s="83"/>
      <c r="F1479" s="83"/>
      <c r="G1479" s="31"/>
      <c r="H1479" s="31"/>
    </row>
    <row r="1480" spans="1:8">
      <c r="A1480" s="31"/>
      <c r="B1480" s="105"/>
      <c r="C1480" s="112"/>
      <c r="D1480" s="83"/>
      <c r="E1480" s="83"/>
      <c r="F1480" s="83"/>
      <c r="G1480" s="31"/>
      <c r="H1480" s="31"/>
    </row>
    <row r="1481" spans="1:8">
      <c r="A1481" s="31"/>
      <c r="B1481" s="105"/>
      <c r="C1481" s="112"/>
      <c r="D1481" s="83"/>
      <c r="E1481" s="83"/>
      <c r="F1481" s="83"/>
      <c r="G1481" s="31"/>
      <c r="H1481" s="31"/>
    </row>
    <row r="1482" spans="1:8">
      <c r="A1482" s="31"/>
      <c r="B1482" s="105"/>
      <c r="C1482" s="112"/>
      <c r="D1482" s="83"/>
      <c r="E1482" s="83"/>
      <c r="F1482" s="83"/>
      <c r="G1482" s="31"/>
      <c r="H1482" s="31"/>
    </row>
    <row r="1483" spans="1:8">
      <c r="A1483" s="31"/>
      <c r="B1483" s="105"/>
      <c r="C1483" s="112"/>
      <c r="D1483" s="83"/>
      <c r="E1483" s="83"/>
      <c r="F1483" s="83"/>
      <c r="G1483" s="31"/>
      <c r="H1483" s="31"/>
    </row>
    <row r="1484" spans="1:8">
      <c r="A1484" s="31"/>
      <c r="B1484" s="105"/>
      <c r="C1484" s="112"/>
      <c r="D1484" s="83"/>
      <c r="E1484" s="83"/>
      <c r="F1484" s="83"/>
      <c r="G1484" s="31"/>
      <c r="H1484" s="31"/>
    </row>
    <row r="1485" spans="1:8">
      <c r="A1485" s="31"/>
      <c r="B1485" s="105"/>
      <c r="C1485" s="112"/>
      <c r="D1485" s="83"/>
      <c r="E1485" s="83"/>
      <c r="F1485" s="83"/>
      <c r="G1485" s="31"/>
      <c r="H1485" s="31"/>
    </row>
    <row r="1486" spans="1:8">
      <c r="A1486" s="31"/>
      <c r="B1486" s="105"/>
      <c r="C1486" s="112"/>
      <c r="D1486" s="83"/>
      <c r="E1486" s="83"/>
      <c r="F1486" s="83"/>
      <c r="G1486" s="31"/>
      <c r="H1486" s="31"/>
    </row>
    <row r="1487" spans="1:8">
      <c r="A1487" s="31"/>
      <c r="B1487" s="105"/>
      <c r="C1487" s="112"/>
      <c r="D1487" s="83"/>
      <c r="E1487" s="83"/>
      <c r="F1487" s="83"/>
      <c r="G1487" s="31"/>
      <c r="H1487" s="31"/>
    </row>
    <row r="1488" spans="1:8">
      <c r="A1488" s="31"/>
      <c r="B1488" s="105"/>
      <c r="C1488" s="112"/>
      <c r="D1488" s="83"/>
      <c r="E1488" s="83"/>
      <c r="F1488" s="83"/>
      <c r="G1488" s="31"/>
      <c r="H1488" s="31"/>
    </row>
    <row r="1489" spans="1:8">
      <c r="A1489" s="31"/>
      <c r="B1489" s="105"/>
      <c r="C1489" s="112"/>
      <c r="D1489" s="83"/>
      <c r="E1489" s="83"/>
      <c r="F1489" s="83"/>
      <c r="G1489" s="31"/>
      <c r="H1489" s="31"/>
    </row>
    <row r="1490" spans="1:8">
      <c r="A1490" s="31"/>
      <c r="B1490" s="105"/>
      <c r="C1490" s="112"/>
      <c r="D1490" s="83"/>
      <c r="E1490" s="83"/>
      <c r="F1490" s="83"/>
      <c r="G1490" s="31"/>
      <c r="H1490" s="31"/>
    </row>
    <row r="1491" spans="1:8">
      <c r="A1491" s="31"/>
      <c r="B1491" s="105"/>
      <c r="C1491" s="112"/>
      <c r="D1491" s="83"/>
      <c r="E1491" s="83"/>
      <c r="F1491" s="83"/>
      <c r="G1491" s="31"/>
      <c r="H1491" s="31"/>
    </row>
    <row r="1492" spans="1:8">
      <c r="A1492" s="31"/>
      <c r="B1492" s="105"/>
      <c r="C1492" s="112"/>
      <c r="D1492" s="83"/>
      <c r="E1492" s="83"/>
      <c r="F1492" s="83"/>
      <c r="G1492" s="31"/>
      <c r="H1492" s="31"/>
    </row>
    <row r="1493" spans="1:8">
      <c r="A1493" s="31"/>
      <c r="B1493" s="105"/>
      <c r="C1493" s="112"/>
      <c r="D1493" s="83"/>
      <c r="E1493" s="83"/>
      <c r="F1493" s="83"/>
      <c r="G1493" s="31"/>
      <c r="H1493" s="31"/>
    </row>
    <row r="1494" spans="1:8">
      <c r="A1494" s="31"/>
      <c r="B1494" s="105"/>
      <c r="C1494" s="112"/>
      <c r="D1494" s="83"/>
      <c r="E1494" s="83"/>
      <c r="F1494" s="83"/>
      <c r="G1494" s="31"/>
      <c r="H1494" s="31"/>
    </row>
    <row r="1495" spans="1:8">
      <c r="A1495" s="31"/>
      <c r="B1495" s="105"/>
      <c r="C1495" s="112"/>
      <c r="D1495" s="83"/>
      <c r="E1495" s="83"/>
      <c r="F1495" s="83"/>
      <c r="G1495" s="31"/>
      <c r="H1495" s="31"/>
    </row>
    <row r="1496" spans="1:8">
      <c r="A1496" s="31"/>
      <c r="B1496" s="105"/>
      <c r="C1496" s="112"/>
      <c r="D1496" s="83"/>
      <c r="E1496" s="83"/>
      <c r="F1496" s="83"/>
      <c r="G1496" s="31"/>
      <c r="H1496" s="31"/>
    </row>
    <row r="1497" spans="1:8">
      <c r="A1497" s="31"/>
      <c r="B1497" s="105"/>
      <c r="C1497" s="112"/>
      <c r="D1497" s="83"/>
      <c r="E1497" s="83"/>
      <c r="F1497" s="83"/>
      <c r="G1497" s="31"/>
      <c r="H1497" s="31"/>
    </row>
    <row r="1498" spans="1:8">
      <c r="A1498" s="31"/>
      <c r="B1498" s="105"/>
      <c r="C1498" s="112"/>
      <c r="D1498" s="83"/>
      <c r="E1498" s="83"/>
      <c r="F1498" s="83"/>
      <c r="G1498" s="31"/>
      <c r="H1498" s="31"/>
    </row>
    <row r="1499" spans="1:8">
      <c r="A1499" s="31"/>
      <c r="B1499" s="105"/>
      <c r="C1499" s="112"/>
      <c r="D1499" s="83"/>
      <c r="E1499" s="83"/>
      <c r="F1499" s="83"/>
      <c r="G1499" s="31"/>
      <c r="H1499" s="31"/>
    </row>
    <row r="1500" spans="1:8">
      <c r="A1500" s="31"/>
      <c r="B1500" s="105"/>
      <c r="C1500" s="112"/>
      <c r="D1500" s="83"/>
      <c r="E1500" s="83"/>
      <c r="F1500" s="83"/>
      <c r="G1500" s="31"/>
      <c r="H1500" s="31"/>
    </row>
    <row r="1501" spans="1:8">
      <c r="A1501" s="31"/>
      <c r="B1501" s="105"/>
      <c r="C1501" s="112"/>
      <c r="D1501" s="83"/>
      <c r="E1501" s="83"/>
      <c r="F1501" s="83"/>
      <c r="G1501" s="31"/>
      <c r="H1501" s="31"/>
    </row>
    <row r="1502" spans="1:8">
      <c r="A1502" s="31"/>
      <c r="B1502" s="105"/>
      <c r="C1502" s="112"/>
      <c r="D1502" s="83"/>
      <c r="E1502" s="83"/>
      <c r="F1502" s="83"/>
      <c r="G1502" s="31"/>
      <c r="H1502" s="31"/>
    </row>
    <row r="1503" spans="1:8">
      <c r="A1503" s="31"/>
      <c r="B1503" s="105"/>
      <c r="C1503" s="112"/>
      <c r="D1503" s="83"/>
      <c r="E1503" s="83"/>
      <c r="F1503" s="83"/>
      <c r="G1503" s="31"/>
      <c r="H1503" s="31"/>
    </row>
    <row r="1504" spans="1:8">
      <c r="A1504" s="31"/>
      <c r="B1504" s="105"/>
      <c r="C1504" s="112"/>
      <c r="D1504" s="83"/>
      <c r="E1504" s="83"/>
      <c r="F1504" s="83"/>
      <c r="G1504" s="31"/>
      <c r="H1504" s="31"/>
    </row>
    <row r="1505" spans="1:8">
      <c r="A1505" s="31"/>
      <c r="B1505" s="105"/>
      <c r="C1505" s="112"/>
      <c r="D1505" s="83"/>
      <c r="E1505" s="83"/>
      <c r="F1505" s="83"/>
      <c r="G1505" s="31"/>
      <c r="H1505" s="31"/>
    </row>
    <row r="1506" spans="1:8">
      <c r="A1506" s="31"/>
      <c r="B1506" s="105"/>
      <c r="C1506" s="112"/>
      <c r="D1506" s="83"/>
      <c r="E1506" s="83"/>
      <c r="F1506" s="83"/>
      <c r="G1506" s="31"/>
      <c r="H1506" s="31"/>
    </row>
    <row r="1507" spans="1:8">
      <c r="A1507" s="31"/>
      <c r="B1507" s="105"/>
      <c r="C1507" s="112"/>
      <c r="D1507" s="83"/>
      <c r="E1507" s="83"/>
      <c r="F1507" s="83"/>
      <c r="G1507" s="31"/>
      <c r="H1507" s="31"/>
    </row>
    <row r="1508" spans="1:8">
      <c r="A1508" s="31"/>
      <c r="B1508" s="105"/>
      <c r="C1508" s="112"/>
      <c r="D1508" s="83"/>
      <c r="E1508" s="83"/>
      <c r="F1508" s="83"/>
      <c r="G1508" s="31"/>
      <c r="H1508" s="31"/>
    </row>
    <row r="1509" spans="1:8">
      <c r="A1509" s="31"/>
      <c r="B1509" s="105"/>
      <c r="C1509" s="112"/>
      <c r="D1509" s="83"/>
      <c r="E1509" s="83"/>
      <c r="F1509" s="83"/>
      <c r="G1509" s="31"/>
      <c r="H1509" s="31"/>
    </row>
    <row r="1510" spans="1:8">
      <c r="A1510" s="31"/>
      <c r="B1510" s="105"/>
      <c r="C1510" s="112"/>
      <c r="D1510" s="83"/>
      <c r="E1510" s="83"/>
      <c r="F1510" s="83"/>
      <c r="G1510" s="31"/>
      <c r="H1510" s="31"/>
    </row>
    <row r="1511" spans="1:8">
      <c r="A1511" s="31"/>
      <c r="B1511" s="105"/>
      <c r="C1511" s="112"/>
      <c r="D1511" s="83"/>
      <c r="E1511" s="83"/>
      <c r="F1511" s="83"/>
      <c r="G1511" s="31"/>
      <c r="H1511" s="31"/>
    </row>
    <row r="1512" spans="1:8">
      <c r="A1512" s="31"/>
      <c r="B1512" s="105"/>
      <c r="C1512" s="112"/>
      <c r="D1512" s="83"/>
      <c r="E1512" s="83"/>
      <c r="F1512" s="83"/>
      <c r="G1512" s="31"/>
      <c r="H1512" s="31"/>
    </row>
    <row r="1513" spans="1:8">
      <c r="A1513" s="31"/>
      <c r="B1513" s="105"/>
      <c r="C1513" s="112"/>
      <c r="D1513" s="83"/>
      <c r="E1513" s="83"/>
      <c r="F1513" s="83"/>
      <c r="G1513" s="31"/>
      <c r="H1513" s="31"/>
    </row>
    <row r="1514" spans="1:8">
      <c r="A1514" s="31"/>
      <c r="B1514" s="105"/>
      <c r="C1514" s="112"/>
      <c r="D1514" s="83"/>
      <c r="E1514" s="83"/>
      <c r="F1514" s="83"/>
      <c r="G1514" s="31"/>
      <c r="H1514" s="31"/>
    </row>
    <row r="1515" spans="1:8">
      <c r="A1515" s="31"/>
      <c r="B1515" s="105"/>
      <c r="C1515" s="112"/>
      <c r="D1515" s="83"/>
      <c r="E1515" s="83"/>
      <c r="F1515" s="83"/>
      <c r="G1515" s="31"/>
      <c r="H1515" s="31"/>
    </row>
    <row r="1516" spans="1:8">
      <c r="A1516" s="31"/>
      <c r="B1516" s="105"/>
      <c r="C1516" s="112"/>
      <c r="D1516" s="83"/>
      <c r="E1516" s="83"/>
      <c r="F1516" s="83"/>
      <c r="G1516" s="31"/>
      <c r="H1516" s="31"/>
    </row>
    <row r="1517" spans="1:8">
      <c r="A1517" s="31"/>
      <c r="B1517" s="105"/>
      <c r="C1517" s="112"/>
      <c r="D1517" s="83"/>
      <c r="E1517" s="83"/>
      <c r="F1517" s="83"/>
      <c r="G1517" s="31"/>
      <c r="H1517" s="31"/>
    </row>
    <row r="1518" spans="1:8">
      <c r="A1518" s="31"/>
      <c r="B1518" s="105"/>
      <c r="C1518" s="112"/>
      <c r="D1518" s="83"/>
      <c r="E1518" s="83"/>
      <c r="F1518" s="83"/>
      <c r="G1518" s="31"/>
      <c r="H1518" s="31"/>
    </row>
    <row r="1519" spans="1:8">
      <c r="A1519" s="31"/>
      <c r="B1519" s="105"/>
      <c r="C1519" s="112"/>
      <c r="D1519" s="83"/>
      <c r="E1519" s="83"/>
      <c r="F1519" s="83"/>
      <c r="G1519" s="31"/>
      <c r="H1519" s="31"/>
    </row>
    <row r="1520" spans="1:8">
      <c r="A1520" s="31"/>
      <c r="B1520" s="105"/>
      <c r="C1520" s="112"/>
      <c r="D1520" s="83"/>
      <c r="E1520" s="83"/>
      <c r="F1520" s="83"/>
      <c r="G1520" s="31"/>
      <c r="H1520" s="31"/>
    </row>
    <row r="1521" spans="1:8">
      <c r="A1521" s="31"/>
      <c r="B1521" s="105"/>
      <c r="C1521" s="112"/>
      <c r="D1521" s="83"/>
      <c r="E1521" s="83"/>
      <c r="F1521" s="83"/>
      <c r="G1521" s="31"/>
      <c r="H1521" s="31"/>
    </row>
    <row r="1522" spans="1:8">
      <c r="A1522" s="31"/>
      <c r="B1522" s="105"/>
      <c r="C1522" s="112"/>
      <c r="D1522" s="83"/>
      <c r="E1522" s="83"/>
      <c r="F1522" s="83"/>
      <c r="G1522" s="31"/>
      <c r="H1522" s="31"/>
    </row>
    <row r="1523" spans="1:8">
      <c r="A1523" s="31"/>
      <c r="B1523" s="105"/>
      <c r="C1523" s="112"/>
      <c r="D1523" s="83"/>
      <c r="E1523" s="83"/>
      <c r="F1523" s="83"/>
      <c r="G1523" s="31"/>
      <c r="H1523" s="31"/>
    </row>
    <row r="1524" spans="1:8">
      <c r="A1524" s="31"/>
      <c r="B1524" s="105"/>
      <c r="C1524" s="112"/>
      <c r="D1524" s="83"/>
      <c r="E1524" s="83"/>
      <c r="F1524" s="83"/>
      <c r="G1524" s="31"/>
      <c r="H1524" s="31"/>
    </row>
    <row r="1525" spans="1:8">
      <c r="A1525" s="31"/>
      <c r="B1525" s="105"/>
      <c r="C1525" s="112"/>
      <c r="D1525" s="83"/>
      <c r="E1525" s="83"/>
      <c r="F1525" s="83"/>
      <c r="G1525" s="31"/>
      <c r="H1525" s="31"/>
    </row>
    <row r="1526" spans="1:8">
      <c r="A1526" s="31"/>
      <c r="B1526" s="105"/>
      <c r="C1526" s="112"/>
      <c r="D1526" s="83"/>
      <c r="E1526" s="83"/>
      <c r="F1526" s="83"/>
      <c r="G1526" s="31"/>
      <c r="H1526" s="31"/>
    </row>
    <row r="1527" spans="1:8">
      <c r="A1527" s="31"/>
      <c r="B1527" s="105"/>
      <c r="C1527" s="112"/>
      <c r="D1527" s="83"/>
      <c r="E1527" s="83"/>
      <c r="F1527" s="83"/>
      <c r="G1527" s="31"/>
      <c r="H1527" s="31"/>
    </row>
    <row r="1528" spans="1:8">
      <c r="A1528" s="31"/>
      <c r="B1528" s="105"/>
      <c r="C1528" s="112"/>
      <c r="D1528" s="83"/>
      <c r="E1528" s="83"/>
      <c r="F1528" s="83"/>
      <c r="G1528" s="31"/>
      <c r="H1528" s="31"/>
    </row>
    <row r="1529" spans="1:8">
      <c r="A1529" s="31"/>
      <c r="B1529" s="105"/>
      <c r="C1529" s="112"/>
      <c r="D1529" s="83"/>
      <c r="E1529" s="83"/>
      <c r="F1529" s="83"/>
      <c r="G1529" s="31"/>
      <c r="H1529" s="31"/>
    </row>
    <row r="1530" spans="1:8">
      <c r="A1530" s="31"/>
      <c r="B1530" s="105"/>
      <c r="C1530" s="112"/>
      <c r="D1530" s="83"/>
      <c r="E1530" s="83"/>
      <c r="F1530" s="83"/>
      <c r="G1530" s="31"/>
      <c r="H1530" s="31"/>
    </row>
    <row r="1531" spans="1:8">
      <c r="A1531" s="31"/>
      <c r="B1531" s="105"/>
      <c r="C1531" s="112"/>
      <c r="D1531" s="83"/>
      <c r="E1531" s="83"/>
      <c r="F1531" s="83"/>
      <c r="G1531" s="31"/>
      <c r="H1531" s="31"/>
    </row>
    <row r="1532" spans="1:8">
      <c r="A1532" s="31"/>
      <c r="B1532" s="105"/>
      <c r="C1532" s="112"/>
      <c r="D1532" s="83"/>
      <c r="E1532" s="83"/>
      <c r="F1532" s="83"/>
      <c r="G1532" s="31"/>
      <c r="H1532" s="31"/>
    </row>
    <row r="1533" spans="1:8">
      <c r="A1533" s="31"/>
      <c r="B1533" s="105"/>
      <c r="C1533" s="112"/>
      <c r="D1533" s="83"/>
      <c r="E1533" s="83"/>
      <c r="F1533" s="83"/>
      <c r="G1533" s="31"/>
      <c r="H1533" s="31"/>
    </row>
    <row r="1534" spans="1:8">
      <c r="A1534" s="31"/>
      <c r="B1534" s="105"/>
      <c r="C1534" s="112"/>
      <c r="D1534" s="83"/>
      <c r="E1534" s="83"/>
      <c r="F1534" s="83"/>
      <c r="G1534" s="31"/>
      <c r="H1534" s="31"/>
    </row>
    <row r="1535" spans="1:8">
      <c r="A1535" s="31"/>
      <c r="B1535" s="105"/>
      <c r="C1535" s="112"/>
      <c r="D1535" s="83"/>
      <c r="E1535" s="83"/>
      <c r="F1535" s="83"/>
      <c r="G1535" s="31"/>
      <c r="H1535" s="31"/>
    </row>
    <row r="1536" spans="1:8">
      <c r="A1536" s="31"/>
      <c r="B1536" s="105"/>
      <c r="C1536" s="112"/>
      <c r="D1536" s="83"/>
      <c r="E1536" s="83"/>
      <c r="F1536" s="83"/>
      <c r="G1536" s="31"/>
      <c r="H1536" s="31"/>
    </row>
    <row r="1537" spans="1:8">
      <c r="A1537" s="31"/>
      <c r="B1537" s="105"/>
      <c r="C1537" s="112"/>
      <c r="D1537" s="83"/>
      <c r="E1537" s="83"/>
      <c r="F1537" s="83"/>
      <c r="G1537" s="31"/>
      <c r="H1537" s="31"/>
    </row>
    <row r="1538" spans="1:8">
      <c r="A1538" s="31"/>
      <c r="B1538" s="105"/>
      <c r="C1538" s="112"/>
      <c r="D1538" s="83"/>
      <c r="E1538" s="83"/>
      <c r="F1538" s="83"/>
      <c r="G1538" s="31"/>
      <c r="H1538" s="31"/>
    </row>
    <row r="1539" spans="1:8">
      <c r="A1539" s="31"/>
      <c r="B1539" s="105"/>
      <c r="C1539" s="112"/>
      <c r="D1539" s="83"/>
      <c r="E1539" s="83"/>
      <c r="F1539" s="83"/>
      <c r="G1539" s="31"/>
      <c r="H1539" s="31"/>
    </row>
    <row r="1540" spans="1:8">
      <c r="A1540" s="31"/>
      <c r="B1540" s="105"/>
      <c r="C1540" s="112"/>
      <c r="D1540" s="83"/>
      <c r="E1540" s="83"/>
      <c r="F1540" s="83"/>
      <c r="G1540" s="31"/>
      <c r="H1540" s="31"/>
    </row>
    <row r="1541" spans="1:8">
      <c r="A1541" s="31"/>
      <c r="B1541" s="105"/>
      <c r="C1541" s="112"/>
      <c r="D1541" s="83"/>
      <c r="E1541" s="83"/>
      <c r="F1541" s="83"/>
      <c r="G1541" s="31"/>
      <c r="H1541" s="31"/>
    </row>
    <row r="1542" spans="1:8">
      <c r="A1542" s="31"/>
      <c r="B1542" s="105"/>
      <c r="C1542" s="112"/>
      <c r="D1542" s="83"/>
      <c r="E1542" s="83"/>
      <c r="F1542" s="83"/>
      <c r="G1542" s="31"/>
      <c r="H1542" s="31"/>
    </row>
    <row r="1543" spans="1:8">
      <c r="A1543" s="31"/>
      <c r="B1543" s="105"/>
      <c r="C1543" s="112"/>
      <c r="D1543" s="83"/>
      <c r="E1543" s="83"/>
      <c r="F1543" s="83"/>
      <c r="G1543" s="31"/>
      <c r="H1543" s="31"/>
    </row>
    <row r="1544" spans="1:8">
      <c r="A1544" s="31"/>
      <c r="B1544" s="105"/>
      <c r="C1544" s="112"/>
      <c r="D1544" s="83"/>
      <c r="E1544" s="83"/>
      <c r="F1544" s="83"/>
      <c r="G1544" s="31"/>
      <c r="H1544" s="31"/>
    </row>
    <row r="1545" spans="1:8">
      <c r="A1545" s="31"/>
      <c r="B1545" s="105"/>
      <c r="C1545" s="112"/>
      <c r="D1545" s="83"/>
      <c r="E1545" s="83"/>
      <c r="F1545" s="83"/>
      <c r="G1545" s="31"/>
      <c r="H1545" s="31"/>
    </row>
    <row r="1546" spans="1:8">
      <c r="A1546" s="31"/>
      <c r="B1546" s="105"/>
      <c r="C1546" s="112"/>
      <c r="D1546" s="83"/>
      <c r="E1546" s="83"/>
      <c r="F1546" s="83"/>
      <c r="G1546" s="31"/>
      <c r="H1546" s="31"/>
    </row>
    <row r="1547" spans="1:8">
      <c r="A1547" s="31"/>
      <c r="B1547" s="105"/>
      <c r="C1547" s="112"/>
      <c r="D1547" s="83"/>
      <c r="E1547" s="83"/>
      <c r="F1547" s="83"/>
      <c r="G1547" s="31"/>
      <c r="H1547" s="31"/>
    </row>
    <row r="1548" spans="1:8">
      <c r="A1548" s="31"/>
      <c r="B1548" s="105"/>
      <c r="C1548" s="112"/>
      <c r="D1548" s="83"/>
      <c r="E1548" s="83"/>
      <c r="F1548" s="83"/>
      <c r="G1548" s="31"/>
      <c r="H1548" s="31"/>
    </row>
    <row r="1549" spans="1:8">
      <c r="A1549" s="31"/>
      <c r="B1549" s="105"/>
      <c r="C1549" s="112"/>
      <c r="D1549" s="83"/>
      <c r="E1549" s="83"/>
      <c r="F1549" s="83"/>
      <c r="G1549" s="31"/>
      <c r="H1549" s="31"/>
    </row>
    <row r="1550" spans="1:8">
      <c r="A1550" s="31"/>
      <c r="B1550" s="105"/>
      <c r="C1550" s="112"/>
      <c r="D1550" s="83"/>
      <c r="E1550" s="83"/>
      <c r="F1550" s="83"/>
      <c r="G1550" s="31"/>
      <c r="H1550" s="31"/>
    </row>
    <row r="1551" spans="1:8">
      <c r="A1551" s="31"/>
      <c r="B1551" s="105"/>
      <c r="C1551" s="112"/>
      <c r="D1551" s="83"/>
      <c r="E1551" s="83"/>
      <c r="F1551" s="83"/>
      <c r="G1551" s="31"/>
      <c r="H1551" s="31"/>
    </row>
    <row r="1552" spans="1:8">
      <c r="A1552" s="31"/>
      <c r="B1552" s="105"/>
      <c r="C1552" s="112"/>
      <c r="D1552" s="83"/>
      <c r="E1552" s="83"/>
      <c r="F1552" s="83"/>
      <c r="G1552" s="31"/>
      <c r="H1552" s="31"/>
    </row>
    <row r="1553" spans="1:8">
      <c r="A1553" s="31"/>
      <c r="B1553" s="105"/>
      <c r="C1553" s="112"/>
      <c r="D1553" s="83"/>
      <c r="E1553" s="83"/>
      <c r="F1553" s="83"/>
      <c r="G1553" s="31"/>
      <c r="H1553" s="31"/>
    </row>
    <row r="1554" spans="1:8">
      <c r="A1554" s="31"/>
      <c r="B1554" s="105"/>
      <c r="C1554" s="112"/>
      <c r="D1554" s="83"/>
      <c r="E1554" s="83"/>
      <c r="F1554" s="83"/>
      <c r="G1554" s="31"/>
      <c r="H1554" s="31"/>
    </row>
    <row r="1555" spans="1:8">
      <c r="A1555" s="31"/>
      <c r="B1555" s="105"/>
      <c r="C1555" s="112"/>
      <c r="D1555" s="83"/>
      <c r="E1555" s="83"/>
      <c r="F1555" s="83"/>
      <c r="G1555" s="31"/>
      <c r="H1555" s="31"/>
    </row>
    <row r="1556" spans="1:8">
      <c r="A1556" s="31"/>
      <c r="B1556" s="105"/>
      <c r="C1556" s="112"/>
      <c r="D1556" s="83"/>
      <c r="E1556" s="83"/>
      <c r="F1556" s="83"/>
      <c r="G1556" s="31"/>
      <c r="H1556" s="31"/>
    </row>
    <row r="1557" spans="1:8">
      <c r="A1557" s="31"/>
      <c r="B1557" s="105"/>
      <c r="C1557" s="112"/>
      <c r="D1557" s="83"/>
      <c r="E1557" s="83"/>
      <c r="F1557" s="83"/>
      <c r="G1557" s="31"/>
      <c r="H1557" s="31"/>
    </row>
    <row r="1558" spans="1:8">
      <c r="A1558" s="31"/>
      <c r="B1558" s="105"/>
      <c r="C1558" s="112"/>
      <c r="D1558" s="83"/>
      <c r="E1558" s="83"/>
      <c r="F1558" s="83"/>
      <c r="G1558" s="31"/>
      <c r="H1558" s="31"/>
    </row>
    <row r="1559" spans="1:8">
      <c r="A1559" s="31"/>
      <c r="B1559" s="105"/>
      <c r="C1559" s="112"/>
      <c r="D1559" s="83"/>
      <c r="E1559" s="83"/>
      <c r="F1559" s="83"/>
      <c r="G1559" s="31"/>
      <c r="H1559" s="31"/>
    </row>
    <row r="1560" spans="1:8">
      <c r="A1560" s="31"/>
      <c r="B1560" s="105"/>
      <c r="C1560" s="112"/>
      <c r="D1560" s="83"/>
      <c r="E1560" s="83"/>
      <c r="F1560" s="83"/>
      <c r="G1560" s="31"/>
      <c r="H1560" s="31"/>
    </row>
    <row r="1561" spans="1:8">
      <c r="A1561" s="31"/>
      <c r="B1561" s="105"/>
      <c r="C1561" s="112"/>
      <c r="D1561" s="83"/>
      <c r="E1561" s="83"/>
      <c r="F1561" s="83"/>
      <c r="G1561" s="31"/>
      <c r="H1561" s="31"/>
    </row>
    <row r="1562" spans="1:8">
      <c r="A1562" s="31"/>
      <c r="B1562" s="105"/>
      <c r="C1562" s="112"/>
      <c r="D1562" s="83"/>
      <c r="E1562" s="83"/>
      <c r="F1562" s="83"/>
      <c r="G1562" s="31"/>
      <c r="H1562" s="31"/>
    </row>
    <row r="1563" spans="1:8">
      <c r="A1563" s="31"/>
      <c r="B1563" s="105"/>
      <c r="C1563" s="112"/>
      <c r="D1563" s="83"/>
      <c r="E1563" s="83"/>
      <c r="F1563" s="83"/>
      <c r="G1563" s="31"/>
      <c r="H1563" s="31"/>
    </row>
    <row r="1564" spans="1:8">
      <c r="A1564" s="31"/>
      <c r="B1564" s="105"/>
      <c r="C1564" s="112"/>
      <c r="D1564" s="83"/>
      <c r="E1564" s="83"/>
      <c r="F1564" s="83"/>
      <c r="G1564" s="31"/>
      <c r="H1564" s="31"/>
    </row>
    <row r="1565" spans="1:8">
      <c r="A1565" s="31"/>
      <c r="B1565" s="105"/>
      <c r="C1565" s="112"/>
      <c r="D1565" s="83"/>
      <c r="E1565" s="83"/>
      <c r="F1565" s="83"/>
      <c r="G1565" s="31"/>
      <c r="H1565" s="31"/>
    </row>
    <row r="1566" spans="1:8">
      <c r="A1566" s="31"/>
      <c r="B1566" s="105"/>
      <c r="C1566" s="112"/>
      <c r="D1566" s="83"/>
      <c r="E1566" s="83"/>
      <c r="F1566" s="83"/>
      <c r="G1566" s="31"/>
      <c r="H1566" s="31"/>
    </row>
    <row r="1567" spans="1:8">
      <c r="A1567" s="31"/>
      <c r="B1567" s="105"/>
      <c r="C1567" s="112"/>
      <c r="D1567" s="83"/>
      <c r="E1567" s="83"/>
      <c r="F1567" s="83"/>
      <c r="G1567" s="31"/>
      <c r="H1567" s="31"/>
    </row>
    <row r="1568" spans="1:8">
      <c r="A1568" s="31"/>
      <c r="B1568" s="105"/>
      <c r="C1568" s="112"/>
      <c r="D1568" s="83"/>
      <c r="E1568" s="83"/>
      <c r="F1568" s="83"/>
      <c r="G1568" s="31"/>
      <c r="H1568" s="31"/>
    </row>
    <row r="1569" spans="1:8">
      <c r="A1569" s="31"/>
      <c r="B1569" s="105"/>
      <c r="C1569" s="112"/>
      <c r="D1569" s="83"/>
      <c r="E1569" s="83"/>
      <c r="F1569" s="83"/>
      <c r="G1569" s="31"/>
      <c r="H1569" s="31"/>
    </row>
    <row r="1570" spans="1:8">
      <c r="A1570" s="31"/>
      <c r="B1570" s="105"/>
      <c r="C1570" s="112"/>
      <c r="D1570" s="83"/>
      <c r="E1570" s="83"/>
      <c r="F1570" s="83"/>
      <c r="G1570" s="31"/>
      <c r="H1570" s="31"/>
    </row>
    <row r="1571" spans="1:8">
      <c r="A1571" s="31"/>
      <c r="B1571" s="105"/>
      <c r="C1571" s="112"/>
      <c r="D1571" s="83"/>
      <c r="E1571" s="83"/>
      <c r="F1571" s="83"/>
      <c r="G1571" s="31"/>
      <c r="H1571" s="31"/>
    </row>
    <row r="1572" spans="1:8">
      <c r="A1572" s="31"/>
      <c r="B1572" s="105"/>
      <c r="C1572" s="112"/>
      <c r="D1572" s="83"/>
      <c r="E1572" s="83"/>
      <c r="F1572" s="83"/>
      <c r="G1572" s="31"/>
      <c r="H1572" s="31"/>
    </row>
    <row r="1573" spans="1:8">
      <c r="A1573" s="31"/>
      <c r="B1573" s="105"/>
      <c r="C1573" s="112"/>
      <c r="D1573" s="83"/>
      <c r="E1573" s="83"/>
      <c r="F1573" s="83"/>
      <c r="G1573" s="31"/>
      <c r="H1573" s="31"/>
    </row>
    <row r="1574" spans="1:8">
      <c r="A1574" s="31"/>
      <c r="B1574" s="105"/>
      <c r="C1574" s="112"/>
      <c r="D1574" s="83"/>
      <c r="E1574" s="83"/>
      <c r="F1574" s="83"/>
      <c r="G1574" s="31"/>
      <c r="H1574" s="31"/>
    </row>
    <row r="1575" spans="1:8">
      <c r="A1575" s="31"/>
      <c r="B1575" s="105"/>
      <c r="C1575" s="112"/>
      <c r="D1575" s="83"/>
      <c r="E1575" s="83"/>
      <c r="F1575" s="83"/>
      <c r="G1575" s="31"/>
      <c r="H1575" s="31"/>
    </row>
    <row r="1576" spans="1:8">
      <c r="A1576" s="31"/>
      <c r="B1576" s="105"/>
      <c r="C1576" s="112"/>
      <c r="D1576" s="83"/>
      <c r="E1576" s="83"/>
      <c r="F1576" s="83"/>
      <c r="G1576" s="31"/>
      <c r="H1576" s="31"/>
    </row>
    <row r="1577" spans="1:8">
      <c r="A1577" s="31"/>
      <c r="B1577" s="105"/>
      <c r="C1577" s="112"/>
      <c r="D1577" s="83"/>
      <c r="E1577" s="83"/>
      <c r="F1577" s="83"/>
      <c r="G1577" s="31"/>
      <c r="H1577" s="31"/>
    </row>
    <row r="1578" spans="1:8">
      <c r="A1578" s="31"/>
      <c r="B1578" s="105"/>
      <c r="C1578" s="112"/>
      <c r="D1578" s="83"/>
      <c r="E1578" s="83"/>
      <c r="F1578" s="83"/>
      <c r="G1578" s="31"/>
      <c r="H1578" s="31"/>
    </row>
    <row r="1579" spans="1:8">
      <c r="A1579" s="31"/>
      <c r="B1579" s="105"/>
      <c r="C1579" s="112"/>
      <c r="D1579" s="83"/>
      <c r="E1579" s="83"/>
      <c r="F1579" s="83"/>
      <c r="G1579" s="31"/>
      <c r="H1579" s="31"/>
    </row>
    <row r="1580" spans="1:8">
      <c r="A1580" s="31"/>
      <c r="B1580" s="105"/>
      <c r="C1580" s="112"/>
      <c r="D1580" s="83"/>
      <c r="E1580" s="83"/>
      <c r="F1580" s="83"/>
      <c r="G1580" s="31"/>
      <c r="H1580" s="31"/>
    </row>
    <row r="1581" spans="1:8">
      <c r="A1581" s="31"/>
      <c r="B1581" s="105"/>
      <c r="C1581" s="112"/>
      <c r="D1581" s="83"/>
      <c r="E1581" s="83"/>
      <c r="F1581" s="83"/>
      <c r="G1581" s="31"/>
      <c r="H1581" s="31"/>
    </row>
    <row r="1582" spans="1:8">
      <c r="A1582" s="31"/>
      <c r="B1582" s="105"/>
      <c r="C1582" s="112"/>
      <c r="D1582" s="83"/>
      <c r="E1582" s="83"/>
      <c r="F1582" s="83"/>
      <c r="G1582" s="31"/>
      <c r="H1582" s="31"/>
    </row>
    <row r="1583" spans="1:8">
      <c r="A1583" s="31"/>
      <c r="B1583" s="105"/>
      <c r="C1583" s="112"/>
      <c r="D1583" s="83"/>
      <c r="E1583" s="83"/>
      <c r="F1583" s="83"/>
      <c r="G1583" s="31"/>
      <c r="H1583" s="31"/>
    </row>
    <row r="1584" spans="1:8">
      <c r="A1584" s="31"/>
      <c r="B1584" s="105"/>
      <c r="C1584" s="112"/>
      <c r="D1584" s="83"/>
      <c r="E1584" s="83"/>
      <c r="F1584" s="83"/>
      <c r="G1584" s="31"/>
      <c r="H1584" s="31"/>
    </row>
    <row r="1585" spans="1:8">
      <c r="A1585" s="31"/>
      <c r="B1585" s="105"/>
      <c r="C1585" s="112"/>
      <c r="D1585" s="83"/>
      <c r="E1585" s="83"/>
      <c r="F1585" s="83"/>
      <c r="G1585" s="31"/>
      <c r="H1585" s="31"/>
    </row>
    <row r="1586" spans="1:8">
      <c r="A1586" s="31"/>
      <c r="B1586" s="105"/>
      <c r="C1586" s="112"/>
      <c r="D1586" s="83"/>
      <c r="E1586" s="83"/>
      <c r="F1586" s="83"/>
      <c r="G1586" s="31"/>
      <c r="H1586" s="31"/>
    </row>
    <row r="1587" spans="1:8">
      <c r="A1587" s="31"/>
      <c r="B1587" s="105"/>
      <c r="C1587" s="112"/>
      <c r="D1587" s="83"/>
      <c r="E1587" s="83"/>
      <c r="F1587" s="83"/>
      <c r="G1587" s="31"/>
      <c r="H1587" s="31"/>
    </row>
    <row r="1588" spans="1:8">
      <c r="A1588" s="31"/>
      <c r="B1588" s="105"/>
      <c r="C1588" s="112"/>
      <c r="D1588" s="83"/>
      <c r="E1588" s="83"/>
      <c r="F1588" s="83"/>
      <c r="G1588" s="31"/>
      <c r="H1588" s="31"/>
    </row>
    <row r="1589" spans="1:8">
      <c r="A1589" s="31"/>
      <c r="B1589" s="105"/>
      <c r="C1589" s="112"/>
      <c r="D1589" s="83"/>
      <c r="E1589" s="83"/>
      <c r="F1589" s="83"/>
      <c r="G1589" s="31"/>
      <c r="H1589" s="31"/>
    </row>
    <row r="1590" spans="1:8">
      <c r="A1590" s="31"/>
      <c r="B1590" s="105"/>
      <c r="C1590" s="112"/>
      <c r="D1590" s="83"/>
      <c r="E1590" s="83"/>
      <c r="F1590" s="83"/>
      <c r="G1590" s="31"/>
      <c r="H1590" s="31"/>
    </row>
    <row r="1591" spans="1:8">
      <c r="A1591" s="31"/>
      <c r="B1591" s="105"/>
      <c r="C1591" s="112"/>
      <c r="D1591" s="83"/>
      <c r="E1591" s="83"/>
      <c r="F1591" s="83"/>
      <c r="G1591" s="31"/>
      <c r="H1591" s="31"/>
    </row>
    <row r="1592" spans="1:8">
      <c r="A1592" s="31"/>
      <c r="B1592" s="105"/>
      <c r="C1592" s="112"/>
      <c r="D1592" s="83"/>
      <c r="E1592" s="83"/>
      <c r="F1592" s="83"/>
      <c r="G1592" s="31"/>
      <c r="H1592" s="31"/>
    </row>
    <row r="1593" spans="1:8">
      <c r="A1593" s="31"/>
      <c r="B1593" s="105"/>
      <c r="C1593" s="112"/>
      <c r="D1593" s="83"/>
      <c r="E1593" s="83"/>
      <c r="F1593" s="83"/>
      <c r="G1593" s="31"/>
      <c r="H1593" s="31"/>
    </row>
    <row r="1594" spans="1:8">
      <c r="A1594" s="31"/>
      <c r="B1594" s="105"/>
      <c r="C1594" s="112"/>
      <c r="D1594" s="83"/>
      <c r="E1594" s="83"/>
      <c r="F1594" s="83"/>
      <c r="G1594" s="31"/>
      <c r="H1594" s="31"/>
    </row>
    <row r="1595" spans="1:8">
      <c r="A1595" s="31"/>
      <c r="B1595" s="105"/>
      <c r="C1595" s="112"/>
      <c r="D1595" s="83"/>
      <c r="E1595" s="83"/>
      <c r="F1595" s="83"/>
      <c r="G1595" s="31"/>
      <c r="H1595" s="31"/>
    </row>
    <row r="1596" spans="1:8">
      <c r="A1596" s="31"/>
      <c r="B1596" s="105"/>
      <c r="C1596" s="112"/>
      <c r="D1596" s="83"/>
      <c r="E1596" s="83"/>
      <c r="F1596" s="83"/>
      <c r="G1596" s="31"/>
      <c r="H1596" s="31"/>
    </row>
    <row r="1597" spans="1:8">
      <c r="A1597" s="31"/>
      <c r="B1597" s="105"/>
      <c r="C1597" s="112"/>
      <c r="D1597" s="83"/>
      <c r="E1597" s="83"/>
      <c r="F1597" s="83"/>
      <c r="G1597" s="31"/>
      <c r="H1597" s="31"/>
    </row>
    <row r="1598" spans="1:8">
      <c r="A1598" s="31"/>
      <c r="B1598" s="105"/>
      <c r="C1598" s="112"/>
      <c r="D1598" s="83"/>
      <c r="E1598" s="83"/>
      <c r="F1598" s="83"/>
      <c r="G1598" s="31"/>
      <c r="H1598" s="31"/>
    </row>
    <row r="1599" spans="1:8">
      <c r="A1599" s="31"/>
      <c r="B1599" s="105"/>
      <c r="C1599" s="112"/>
      <c r="D1599" s="83"/>
      <c r="E1599" s="83"/>
      <c r="F1599" s="83"/>
      <c r="G1599" s="31"/>
      <c r="H1599" s="31"/>
    </row>
    <row r="1600" spans="1:8">
      <c r="A1600" s="31"/>
      <c r="B1600" s="105"/>
      <c r="C1600" s="112"/>
      <c r="D1600" s="83"/>
      <c r="E1600" s="83"/>
      <c r="F1600" s="83"/>
      <c r="G1600" s="31"/>
      <c r="H1600" s="31"/>
    </row>
    <row r="1601" spans="1:8">
      <c r="A1601" s="31"/>
      <c r="B1601" s="105"/>
      <c r="C1601" s="112"/>
      <c r="D1601" s="83"/>
      <c r="E1601" s="83"/>
      <c r="F1601" s="83"/>
      <c r="G1601" s="31"/>
      <c r="H1601" s="31"/>
    </row>
    <row r="1602" spans="1:8">
      <c r="A1602" s="31"/>
      <c r="B1602" s="105"/>
      <c r="C1602" s="112"/>
      <c r="D1602" s="83"/>
      <c r="E1602" s="83"/>
      <c r="F1602" s="83"/>
      <c r="G1602" s="31"/>
      <c r="H1602" s="31"/>
    </row>
    <row r="1603" spans="1:8">
      <c r="A1603" s="31"/>
      <c r="B1603" s="105"/>
      <c r="C1603" s="112"/>
      <c r="D1603" s="83"/>
      <c r="E1603" s="83"/>
      <c r="F1603" s="83"/>
      <c r="G1603" s="31"/>
      <c r="H1603" s="31"/>
    </row>
    <row r="1604" spans="1:8">
      <c r="A1604" s="31"/>
      <c r="B1604" s="105"/>
      <c r="C1604" s="112"/>
      <c r="D1604" s="83"/>
      <c r="E1604" s="83"/>
      <c r="F1604" s="83"/>
      <c r="G1604" s="31"/>
      <c r="H1604" s="31"/>
    </row>
    <row r="1605" spans="1:8">
      <c r="A1605" s="31"/>
      <c r="B1605" s="105"/>
      <c r="C1605" s="112"/>
      <c r="D1605" s="83"/>
      <c r="E1605" s="83"/>
      <c r="F1605" s="83"/>
      <c r="G1605" s="31"/>
      <c r="H1605" s="31"/>
    </row>
    <row r="1606" spans="1:8">
      <c r="A1606" s="31"/>
      <c r="B1606" s="105"/>
      <c r="C1606" s="112"/>
      <c r="D1606" s="83"/>
      <c r="E1606" s="83"/>
      <c r="F1606" s="83"/>
      <c r="G1606" s="31"/>
      <c r="H1606" s="31"/>
    </row>
    <row r="1607" spans="1:8">
      <c r="A1607" s="31"/>
      <c r="B1607" s="105"/>
      <c r="C1607" s="112"/>
      <c r="D1607" s="83"/>
      <c r="E1607" s="83"/>
      <c r="F1607" s="83"/>
      <c r="G1607" s="31"/>
      <c r="H1607" s="31"/>
    </row>
    <row r="1608" spans="1:8">
      <c r="A1608" s="31"/>
      <c r="B1608" s="105"/>
      <c r="C1608" s="112"/>
      <c r="D1608" s="83"/>
      <c r="E1608" s="83"/>
      <c r="F1608" s="83"/>
      <c r="G1608" s="31"/>
      <c r="H1608" s="31"/>
    </row>
    <row r="1609" spans="1:8">
      <c r="A1609" s="31"/>
      <c r="B1609" s="105"/>
      <c r="C1609" s="112"/>
      <c r="D1609" s="83"/>
      <c r="E1609" s="83"/>
      <c r="F1609" s="83"/>
      <c r="G1609" s="31"/>
      <c r="H1609" s="31"/>
    </row>
    <row r="1610" spans="1:8">
      <c r="A1610" s="31"/>
      <c r="B1610" s="105"/>
      <c r="C1610" s="112"/>
      <c r="D1610" s="83"/>
      <c r="E1610" s="83"/>
      <c r="F1610" s="83"/>
      <c r="G1610" s="31"/>
      <c r="H1610" s="31"/>
    </row>
    <row r="1611" spans="1:8">
      <c r="A1611" s="31"/>
      <c r="B1611" s="105"/>
      <c r="C1611" s="112"/>
      <c r="D1611" s="83"/>
      <c r="E1611" s="83"/>
      <c r="F1611" s="83"/>
      <c r="G1611" s="31"/>
      <c r="H1611" s="31"/>
    </row>
    <row r="1612" spans="1:8">
      <c r="A1612" s="31"/>
      <c r="B1612" s="105"/>
      <c r="C1612" s="112"/>
      <c r="D1612" s="83"/>
      <c r="E1612" s="83"/>
      <c r="F1612" s="83"/>
      <c r="G1612" s="31"/>
      <c r="H1612" s="31"/>
    </row>
    <row r="1613" spans="1:8">
      <c r="A1613" s="31"/>
      <c r="B1613" s="105"/>
      <c r="C1613" s="112"/>
      <c r="D1613" s="83"/>
      <c r="E1613" s="83"/>
      <c r="F1613" s="83"/>
      <c r="G1613" s="31"/>
      <c r="H1613" s="31"/>
    </row>
    <row r="1614" spans="1:8">
      <c r="A1614" s="31"/>
      <c r="B1614" s="105"/>
      <c r="C1614" s="112"/>
      <c r="D1614" s="83"/>
      <c r="E1614" s="83"/>
      <c r="F1614" s="83"/>
      <c r="G1614" s="31"/>
      <c r="H1614" s="31"/>
    </row>
    <row r="1615" spans="1:8">
      <c r="A1615" s="31"/>
      <c r="B1615" s="105"/>
      <c r="C1615" s="112"/>
      <c r="D1615" s="83"/>
      <c r="E1615" s="83"/>
      <c r="F1615" s="83"/>
      <c r="G1615" s="31"/>
      <c r="H1615" s="31"/>
    </row>
    <row r="1616" spans="1:8">
      <c r="A1616" s="31"/>
      <c r="B1616" s="105"/>
      <c r="C1616" s="112"/>
      <c r="D1616" s="83"/>
      <c r="E1616" s="83"/>
      <c r="F1616" s="83"/>
      <c r="G1616" s="31"/>
      <c r="H1616" s="31"/>
    </row>
    <row r="1617" spans="1:8">
      <c r="A1617" s="31"/>
      <c r="B1617" s="105"/>
      <c r="C1617" s="112"/>
      <c r="D1617" s="83"/>
      <c r="E1617" s="83"/>
      <c r="F1617" s="83"/>
      <c r="G1617" s="31"/>
      <c r="H1617" s="31"/>
    </row>
    <row r="1618" spans="1:8">
      <c r="A1618" s="31"/>
      <c r="B1618" s="105"/>
      <c r="C1618" s="112"/>
      <c r="D1618" s="83"/>
      <c r="E1618" s="83"/>
      <c r="F1618" s="83"/>
      <c r="G1618" s="31"/>
      <c r="H1618" s="31"/>
    </row>
    <row r="1619" spans="1:8">
      <c r="A1619" s="31"/>
      <c r="B1619" s="105"/>
      <c r="C1619" s="112"/>
      <c r="D1619" s="83"/>
      <c r="E1619" s="83"/>
      <c r="F1619" s="83"/>
      <c r="G1619" s="31"/>
      <c r="H1619" s="31"/>
    </row>
    <row r="1620" spans="1:8">
      <c r="A1620" s="31"/>
      <c r="B1620" s="105"/>
      <c r="C1620" s="112"/>
      <c r="D1620" s="83"/>
      <c r="E1620" s="83"/>
      <c r="F1620" s="83"/>
      <c r="G1620" s="31"/>
      <c r="H1620" s="31"/>
    </row>
    <row r="1621" spans="1:8">
      <c r="A1621" s="31"/>
      <c r="B1621" s="105"/>
      <c r="C1621" s="112"/>
      <c r="D1621" s="83"/>
      <c r="E1621" s="83"/>
      <c r="F1621" s="83"/>
      <c r="G1621" s="31"/>
      <c r="H1621" s="31"/>
    </row>
    <row r="1622" spans="1:8">
      <c r="A1622" s="31"/>
      <c r="B1622" s="105"/>
      <c r="C1622" s="112"/>
      <c r="D1622" s="83"/>
      <c r="E1622" s="83"/>
      <c r="F1622" s="83"/>
      <c r="G1622" s="31"/>
      <c r="H1622" s="31"/>
    </row>
    <row r="1623" spans="1:8">
      <c r="A1623" s="31"/>
      <c r="B1623" s="105"/>
      <c r="C1623" s="112"/>
      <c r="D1623" s="83"/>
      <c r="E1623" s="83"/>
      <c r="F1623" s="83"/>
      <c r="G1623" s="31"/>
      <c r="H1623" s="31"/>
    </row>
    <row r="1624" spans="1:8">
      <c r="A1624" s="31"/>
      <c r="B1624" s="105"/>
      <c r="C1624" s="112"/>
      <c r="D1624" s="83"/>
      <c r="E1624" s="83"/>
      <c r="F1624" s="83"/>
      <c r="G1624" s="31"/>
      <c r="H1624" s="31"/>
    </row>
    <row r="1625" spans="1:8">
      <c r="A1625" s="31"/>
      <c r="B1625" s="105"/>
      <c r="C1625" s="112"/>
      <c r="D1625" s="83"/>
      <c r="E1625" s="83"/>
      <c r="F1625" s="83"/>
      <c r="G1625" s="31"/>
      <c r="H1625" s="31"/>
    </row>
    <row r="1626" spans="1:8">
      <c r="A1626" s="31"/>
      <c r="B1626" s="105"/>
      <c r="C1626" s="112"/>
      <c r="D1626" s="83"/>
      <c r="E1626" s="83"/>
      <c r="F1626" s="83"/>
      <c r="G1626" s="31"/>
      <c r="H1626" s="31"/>
    </row>
    <row r="1627" spans="1:8">
      <c r="A1627" s="31"/>
      <c r="B1627" s="105"/>
      <c r="C1627" s="112"/>
      <c r="D1627" s="83"/>
      <c r="E1627" s="83"/>
      <c r="F1627" s="83"/>
      <c r="G1627" s="31"/>
      <c r="H1627" s="31"/>
    </row>
    <row r="1628" spans="1:8">
      <c r="A1628" s="31"/>
      <c r="B1628" s="105"/>
      <c r="C1628" s="112"/>
      <c r="D1628" s="83"/>
      <c r="E1628" s="83"/>
      <c r="F1628" s="83"/>
      <c r="G1628" s="31"/>
      <c r="H1628" s="31"/>
    </row>
    <row r="1629" spans="1:8">
      <c r="A1629" s="31"/>
      <c r="B1629" s="105"/>
      <c r="C1629" s="112"/>
      <c r="D1629" s="83"/>
      <c r="E1629" s="83"/>
      <c r="F1629" s="83"/>
      <c r="G1629" s="31"/>
      <c r="H1629" s="31"/>
    </row>
    <row r="1630" spans="1:8">
      <c r="A1630" s="31"/>
      <c r="B1630" s="105"/>
      <c r="C1630" s="112"/>
      <c r="D1630" s="83"/>
      <c r="E1630" s="83"/>
      <c r="F1630" s="83"/>
      <c r="G1630" s="31"/>
      <c r="H1630" s="31"/>
    </row>
    <row r="1631" spans="1:8">
      <c r="A1631" s="31"/>
      <c r="B1631" s="105"/>
      <c r="C1631" s="112"/>
      <c r="D1631" s="83"/>
      <c r="E1631" s="83"/>
      <c r="F1631" s="83"/>
      <c r="G1631" s="31"/>
      <c r="H1631" s="31"/>
    </row>
    <row r="1632" spans="1:8">
      <c r="A1632" s="31"/>
      <c r="B1632" s="105"/>
      <c r="C1632" s="112"/>
      <c r="D1632" s="83"/>
      <c r="E1632" s="83"/>
      <c r="F1632" s="83"/>
      <c r="G1632" s="31"/>
      <c r="H1632" s="31"/>
    </row>
    <row r="1633" spans="1:8">
      <c r="A1633" s="31"/>
      <c r="B1633" s="105"/>
      <c r="C1633" s="112"/>
      <c r="D1633" s="83"/>
      <c r="E1633" s="83"/>
      <c r="F1633" s="83"/>
      <c r="G1633" s="31"/>
      <c r="H1633" s="31"/>
    </row>
    <row r="1634" spans="1:8">
      <c r="A1634" s="31"/>
      <c r="B1634" s="105"/>
      <c r="C1634" s="112"/>
      <c r="D1634" s="83"/>
      <c r="E1634" s="83"/>
      <c r="F1634" s="83"/>
      <c r="G1634" s="31"/>
      <c r="H1634" s="31"/>
    </row>
    <row r="1635" spans="1:8">
      <c r="A1635" s="31"/>
      <c r="B1635" s="105"/>
      <c r="C1635" s="112"/>
      <c r="D1635" s="83"/>
      <c r="E1635" s="83"/>
      <c r="F1635" s="83"/>
      <c r="G1635" s="31"/>
      <c r="H1635" s="31"/>
    </row>
    <row r="1636" spans="1:8">
      <c r="A1636" s="31"/>
      <c r="B1636" s="105"/>
      <c r="C1636" s="112"/>
      <c r="D1636" s="83"/>
      <c r="E1636" s="83"/>
      <c r="F1636" s="83"/>
      <c r="G1636" s="31"/>
      <c r="H1636" s="31"/>
    </row>
    <row r="1637" spans="1:8">
      <c r="A1637" s="31"/>
      <c r="B1637" s="105"/>
      <c r="C1637" s="112"/>
      <c r="D1637" s="83"/>
      <c r="E1637" s="83"/>
      <c r="F1637" s="83"/>
      <c r="G1637" s="31"/>
      <c r="H1637" s="31"/>
    </row>
    <row r="1638" spans="1:8">
      <c r="A1638" s="31"/>
      <c r="B1638" s="105"/>
      <c r="C1638" s="112"/>
      <c r="D1638" s="83"/>
      <c r="E1638" s="83"/>
      <c r="F1638" s="83"/>
      <c r="G1638" s="31"/>
      <c r="H1638" s="31"/>
    </row>
    <row r="1639" spans="1:8">
      <c r="A1639" s="31"/>
      <c r="B1639" s="105"/>
      <c r="C1639" s="112"/>
      <c r="D1639" s="83"/>
      <c r="E1639" s="83"/>
      <c r="F1639" s="83"/>
      <c r="G1639" s="31"/>
      <c r="H1639" s="31"/>
    </row>
    <row r="1640" spans="1:8">
      <c r="A1640" s="31"/>
      <c r="B1640" s="105"/>
      <c r="C1640" s="112"/>
      <c r="D1640" s="83"/>
      <c r="E1640" s="83"/>
      <c r="F1640" s="83"/>
      <c r="G1640" s="31"/>
      <c r="H1640" s="31"/>
    </row>
    <row r="1641" spans="1:8">
      <c r="A1641" s="31"/>
      <c r="B1641" s="105"/>
      <c r="C1641" s="112"/>
      <c r="D1641" s="83"/>
      <c r="E1641" s="83"/>
      <c r="F1641" s="83"/>
      <c r="G1641" s="31"/>
      <c r="H1641" s="31"/>
    </row>
    <row r="1642" spans="1:8">
      <c r="A1642" s="31"/>
      <c r="B1642" s="105"/>
      <c r="C1642" s="112"/>
      <c r="D1642" s="83"/>
      <c r="E1642" s="83"/>
      <c r="F1642" s="83"/>
      <c r="G1642" s="31"/>
      <c r="H1642" s="31"/>
    </row>
    <row r="1643" spans="1:8">
      <c r="A1643" s="31"/>
      <c r="B1643" s="105"/>
      <c r="C1643" s="112"/>
      <c r="D1643" s="83"/>
      <c r="E1643" s="83"/>
      <c r="F1643" s="83"/>
      <c r="G1643" s="31"/>
      <c r="H1643" s="31"/>
    </row>
    <row r="1644" spans="1:8">
      <c r="A1644" s="31"/>
      <c r="B1644" s="105"/>
      <c r="C1644" s="112"/>
      <c r="D1644" s="83"/>
      <c r="E1644" s="83"/>
      <c r="F1644" s="83"/>
      <c r="G1644" s="31"/>
      <c r="H1644" s="31"/>
    </row>
    <row r="1645" spans="1:8">
      <c r="A1645" s="31"/>
      <c r="B1645" s="105"/>
      <c r="C1645" s="112"/>
      <c r="D1645" s="83"/>
      <c r="E1645" s="83"/>
      <c r="F1645" s="83"/>
      <c r="G1645" s="31"/>
      <c r="H1645" s="31"/>
    </row>
    <row r="1646" spans="1:8">
      <c r="A1646" s="31"/>
      <c r="B1646" s="105"/>
      <c r="C1646" s="112"/>
      <c r="D1646" s="83"/>
      <c r="E1646" s="83"/>
      <c r="F1646" s="83"/>
      <c r="G1646" s="31"/>
      <c r="H1646" s="31"/>
    </row>
    <row r="1647" spans="1:8">
      <c r="A1647" s="31"/>
      <c r="B1647" s="105"/>
      <c r="C1647" s="112"/>
      <c r="D1647" s="83"/>
      <c r="E1647" s="83"/>
      <c r="F1647" s="83"/>
      <c r="G1647" s="31"/>
      <c r="H1647" s="31"/>
    </row>
    <row r="1648" spans="1:8">
      <c r="A1648" s="31"/>
      <c r="B1648" s="105"/>
      <c r="C1648" s="112"/>
      <c r="D1648" s="83"/>
      <c r="E1648" s="83"/>
      <c r="F1648" s="83"/>
      <c r="G1648" s="31"/>
      <c r="H1648" s="31"/>
    </row>
    <row r="1649" spans="1:8">
      <c r="A1649" s="31"/>
      <c r="B1649" s="105"/>
      <c r="C1649" s="112"/>
      <c r="D1649" s="83"/>
      <c r="E1649" s="83"/>
      <c r="F1649" s="83"/>
      <c r="G1649" s="31"/>
      <c r="H1649" s="31"/>
    </row>
    <row r="1650" spans="1:8">
      <c r="A1650" s="31"/>
      <c r="B1650" s="105"/>
      <c r="C1650" s="112"/>
      <c r="D1650" s="83"/>
      <c r="E1650" s="83"/>
      <c r="F1650" s="83"/>
      <c r="G1650" s="31"/>
      <c r="H1650" s="31"/>
    </row>
    <row r="1651" spans="1:8">
      <c r="A1651" s="31"/>
      <c r="B1651" s="105"/>
      <c r="C1651" s="112"/>
      <c r="D1651" s="83"/>
      <c r="E1651" s="83"/>
      <c r="F1651" s="83"/>
      <c r="G1651" s="31"/>
      <c r="H1651" s="31"/>
    </row>
    <row r="1652" spans="1:8">
      <c r="A1652" s="31"/>
      <c r="B1652" s="105"/>
      <c r="C1652" s="112"/>
      <c r="D1652" s="83"/>
      <c r="E1652" s="83"/>
      <c r="F1652" s="83"/>
      <c r="G1652" s="31"/>
      <c r="H1652" s="31"/>
    </row>
    <row r="1653" spans="1:8">
      <c r="A1653" s="31"/>
      <c r="B1653" s="105"/>
      <c r="C1653" s="112"/>
      <c r="D1653" s="83"/>
      <c r="E1653" s="83"/>
      <c r="F1653" s="83"/>
      <c r="G1653" s="31"/>
      <c r="H1653" s="31"/>
    </row>
    <row r="1654" spans="1:8">
      <c r="A1654" s="31"/>
      <c r="B1654" s="105"/>
      <c r="C1654" s="112"/>
      <c r="D1654" s="83"/>
      <c r="E1654" s="83"/>
      <c r="F1654" s="83"/>
      <c r="G1654" s="31"/>
      <c r="H1654" s="31"/>
    </row>
    <row r="1655" spans="1:8">
      <c r="A1655" s="31"/>
      <c r="B1655" s="105"/>
      <c r="C1655" s="112"/>
      <c r="D1655" s="83"/>
      <c r="E1655" s="83"/>
      <c r="F1655" s="83"/>
      <c r="G1655" s="31"/>
      <c r="H1655" s="31"/>
    </row>
    <row r="1656" spans="1:8">
      <c r="A1656" s="31"/>
      <c r="B1656" s="105"/>
      <c r="C1656" s="112"/>
      <c r="D1656" s="83"/>
      <c r="E1656" s="83"/>
      <c r="F1656" s="83"/>
      <c r="G1656" s="31"/>
      <c r="H1656" s="31"/>
    </row>
    <row r="1657" spans="1:8">
      <c r="A1657" s="31"/>
      <c r="B1657" s="105"/>
      <c r="C1657" s="112"/>
      <c r="D1657" s="83"/>
      <c r="E1657" s="83"/>
      <c r="F1657" s="83"/>
      <c r="G1657" s="31"/>
      <c r="H1657" s="31"/>
    </row>
    <row r="1658" spans="1:8">
      <c r="A1658" s="31"/>
      <c r="B1658" s="105"/>
      <c r="C1658" s="112"/>
      <c r="D1658" s="83"/>
      <c r="E1658" s="83"/>
      <c r="F1658" s="83"/>
      <c r="G1658" s="31"/>
      <c r="H1658" s="31"/>
    </row>
    <row r="1659" spans="1:8">
      <c r="A1659" s="31"/>
      <c r="B1659" s="105"/>
      <c r="C1659" s="112"/>
      <c r="D1659" s="83"/>
      <c r="E1659" s="83"/>
      <c r="F1659" s="83"/>
      <c r="G1659" s="31"/>
      <c r="H1659" s="31"/>
    </row>
    <row r="1660" spans="1:8">
      <c r="A1660" s="31"/>
      <c r="B1660" s="105"/>
      <c r="C1660" s="112"/>
      <c r="D1660" s="83"/>
      <c r="E1660" s="83"/>
      <c r="F1660" s="83"/>
      <c r="G1660" s="31"/>
      <c r="H1660" s="31"/>
    </row>
    <row r="1661" spans="1:8">
      <c r="A1661" s="31"/>
      <c r="B1661" s="105"/>
      <c r="C1661" s="112"/>
      <c r="D1661" s="83"/>
      <c r="E1661" s="83"/>
      <c r="F1661" s="83"/>
      <c r="G1661" s="31"/>
      <c r="H1661" s="31"/>
    </row>
    <row r="1662" spans="1:8">
      <c r="A1662" s="31"/>
      <c r="B1662" s="105"/>
      <c r="C1662" s="112"/>
      <c r="D1662" s="83"/>
      <c r="E1662" s="83"/>
      <c r="F1662" s="83"/>
      <c r="G1662" s="31"/>
      <c r="H1662" s="31"/>
    </row>
    <row r="1663" spans="1:8">
      <c r="A1663" s="31"/>
      <c r="B1663" s="105"/>
      <c r="C1663" s="112"/>
      <c r="D1663" s="83"/>
      <c r="E1663" s="83"/>
      <c r="F1663" s="83"/>
      <c r="G1663" s="31"/>
      <c r="H1663" s="31"/>
    </row>
    <row r="1664" spans="1:8">
      <c r="A1664" s="31"/>
      <c r="B1664" s="105"/>
      <c r="C1664" s="112"/>
      <c r="D1664" s="83"/>
      <c r="E1664" s="83"/>
      <c r="F1664" s="83"/>
      <c r="G1664" s="31"/>
      <c r="H1664" s="31"/>
    </row>
    <row r="1665" spans="1:8">
      <c r="A1665" s="31"/>
      <c r="B1665" s="105"/>
      <c r="C1665" s="112"/>
      <c r="D1665" s="83"/>
      <c r="E1665" s="83"/>
      <c r="F1665" s="83"/>
      <c r="G1665" s="31"/>
      <c r="H1665" s="31"/>
    </row>
    <row r="1666" spans="1:8">
      <c r="A1666" s="31"/>
      <c r="B1666" s="105"/>
      <c r="C1666" s="112"/>
      <c r="D1666" s="83"/>
      <c r="E1666" s="83"/>
      <c r="F1666" s="83"/>
      <c r="G1666" s="31"/>
      <c r="H1666" s="31"/>
    </row>
    <row r="1667" spans="1:8">
      <c r="A1667" s="31"/>
      <c r="B1667" s="105"/>
      <c r="C1667" s="112"/>
      <c r="D1667" s="83"/>
      <c r="E1667" s="83"/>
      <c r="F1667" s="83"/>
      <c r="G1667" s="31"/>
      <c r="H1667" s="31"/>
    </row>
    <row r="1668" spans="1:8">
      <c r="A1668" s="31"/>
      <c r="B1668" s="105"/>
      <c r="C1668" s="112"/>
      <c r="D1668" s="83"/>
      <c r="E1668" s="83"/>
      <c r="F1668" s="83"/>
      <c r="G1668" s="31"/>
      <c r="H1668" s="31"/>
    </row>
    <row r="1669" spans="1:8">
      <c r="A1669" s="31"/>
      <c r="B1669" s="105"/>
      <c r="C1669" s="112"/>
      <c r="D1669" s="83"/>
      <c r="E1669" s="83"/>
      <c r="F1669" s="83"/>
      <c r="G1669" s="31"/>
      <c r="H1669" s="31"/>
    </row>
    <row r="1670" spans="1:8">
      <c r="A1670" s="31"/>
      <c r="B1670" s="105"/>
      <c r="C1670" s="112"/>
      <c r="D1670" s="83"/>
      <c r="E1670" s="83"/>
      <c r="F1670" s="83"/>
      <c r="G1670" s="31"/>
      <c r="H1670" s="31"/>
    </row>
    <row r="1671" spans="1:8">
      <c r="A1671" s="31"/>
      <c r="B1671" s="105"/>
      <c r="C1671" s="112"/>
      <c r="D1671" s="83"/>
      <c r="E1671" s="83"/>
      <c r="F1671" s="83"/>
      <c r="G1671" s="31"/>
      <c r="H1671" s="31"/>
    </row>
    <row r="1672" spans="1:8">
      <c r="A1672" s="31"/>
      <c r="B1672" s="105"/>
      <c r="C1672" s="112"/>
      <c r="D1672" s="83"/>
      <c r="E1672" s="83"/>
      <c r="F1672" s="83"/>
      <c r="G1672" s="31"/>
      <c r="H1672" s="31"/>
    </row>
    <row r="1673" spans="1:8">
      <c r="A1673" s="31"/>
      <c r="B1673" s="105"/>
      <c r="C1673" s="112"/>
      <c r="D1673" s="83"/>
      <c r="E1673" s="83"/>
      <c r="F1673" s="83"/>
      <c r="G1673" s="31"/>
      <c r="H1673" s="31"/>
    </row>
    <row r="1674" spans="1:8">
      <c r="A1674" s="31"/>
      <c r="B1674" s="105"/>
      <c r="C1674" s="112"/>
      <c r="D1674" s="83"/>
      <c r="E1674" s="83"/>
      <c r="F1674" s="83"/>
      <c r="G1674" s="31"/>
      <c r="H1674" s="31"/>
    </row>
    <row r="1675" spans="1:8">
      <c r="A1675" s="31"/>
      <c r="B1675" s="105"/>
      <c r="C1675" s="112"/>
      <c r="D1675" s="83"/>
      <c r="E1675" s="83"/>
      <c r="F1675" s="83"/>
      <c r="G1675" s="31"/>
      <c r="H1675" s="31"/>
    </row>
    <row r="1676" spans="1:8">
      <c r="A1676" s="31"/>
      <c r="B1676" s="105"/>
      <c r="C1676" s="112"/>
      <c r="D1676" s="83"/>
      <c r="E1676" s="83"/>
      <c r="F1676" s="83"/>
      <c r="G1676" s="31"/>
      <c r="H1676" s="31"/>
    </row>
    <row r="1677" spans="1:8">
      <c r="A1677" s="31"/>
      <c r="B1677" s="105"/>
      <c r="C1677" s="112"/>
      <c r="D1677" s="83"/>
      <c r="E1677" s="83"/>
      <c r="F1677" s="83"/>
      <c r="G1677" s="31"/>
      <c r="H1677" s="31"/>
    </row>
    <row r="1678" spans="1:8">
      <c r="A1678" s="31"/>
      <c r="B1678" s="105"/>
      <c r="C1678" s="112"/>
      <c r="D1678" s="83"/>
      <c r="E1678" s="83"/>
      <c r="F1678" s="83"/>
      <c r="G1678" s="31"/>
      <c r="H1678" s="31"/>
    </row>
    <row r="1679" spans="1:8">
      <c r="A1679" s="31"/>
      <c r="B1679" s="105"/>
      <c r="C1679" s="112"/>
      <c r="D1679" s="83"/>
      <c r="E1679" s="83"/>
      <c r="F1679" s="83"/>
      <c r="G1679" s="31"/>
      <c r="H1679" s="31"/>
    </row>
    <row r="1680" spans="1:8">
      <c r="A1680" s="31"/>
      <c r="B1680" s="105"/>
      <c r="C1680" s="112"/>
      <c r="D1680" s="83"/>
      <c r="E1680" s="83"/>
      <c r="F1680" s="83"/>
      <c r="G1680" s="31"/>
      <c r="H1680" s="31"/>
    </row>
    <row r="1681" spans="1:8">
      <c r="A1681" s="31"/>
      <c r="B1681" s="105"/>
      <c r="C1681" s="112"/>
      <c r="D1681" s="83"/>
      <c r="E1681" s="83"/>
      <c r="F1681" s="83"/>
      <c r="G1681" s="31"/>
      <c r="H1681" s="31"/>
    </row>
    <row r="1682" spans="1:8">
      <c r="A1682" s="31"/>
      <c r="B1682" s="105"/>
      <c r="C1682" s="112"/>
      <c r="D1682" s="83"/>
      <c r="E1682" s="83"/>
      <c r="F1682" s="83"/>
      <c r="G1682" s="31"/>
      <c r="H1682" s="31"/>
    </row>
    <row r="1683" spans="1:8">
      <c r="A1683" s="31"/>
      <c r="B1683" s="105"/>
      <c r="C1683" s="112"/>
      <c r="D1683" s="83"/>
      <c r="E1683" s="83"/>
      <c r="F1683" s="83"/>
      <c r="G1683" s="31"/>
      <c r="H1683" s="31"/>
    </row>
    <row r="1684" spans="1:8">
      <c r="A1684" s="31"/>
      <c r="B1684" s="105"/>
      <c r="C1684" s="112"/>
      <c r="D1684" s="83"/>
      <c r="E1684" s="83"/>
      <c r="F1684" s="83"/>
      <c r="G1684" s="31"/>
      <c r="H1684" s="31"/>
    </row>
    <row r="1685" spans="1:8">
      <c r="A1685" s="31"/>
      <c r="B1685" s="105"/>
      <c r="C1685" s="112"/>
      <c r="D1685" s="83"/>
      <c r="E1685" s="83"/>
      <c r="F1685" s="83"/>
      <c r="G1685" s="31"/>
      <c r="H1685" s="31"/>
    </row>
    <row r="1686" spans="1:8">
      <c r="A1686" s="31"/>
      <c r="B1686" s="105"/>
      <c r="C1686" s="112"/>
      <c r="D1686" s="83"/>
      <c r="E1686" s="83"/>
      <c r="F1686" s="83"/>
      <c r="G1686" s="31"/>
      <c r="H1686" s="31"/>
    </row>
    <row r="1687" spans="1:8">
      <c r="A1687" s="31"/>
      <c r="B1687" s="105"/>
      <c r="C1687" s="112"/>
      <c r="D1687" s="83"/>
      <c r="E1687" s="83"/>
      <c r="F1687" s="83"/>
      <c r="G1687" s="31"/>
      <c r="H1687" s="31"/>
    </row>
    <row r="1688" spans="1:8">
      <c r="A1688" s="31"/>
      <c r="B1688" s="105"/>
      <c r="C1688" s="112"/>
      <c r="D1688" s="83"/>
      <c r="E1688" s="83"/>
      <c r="F1688" s="83"/>
      <c r="G1688" s="31"/>
      <c r="H1688" s="31"/>
    </row>
    <row r="1689" spans="1:8">
      <c r="A1689" s="31"/>
      <c r="B1689" s="105"/>
      <c r="C1689" s="112"/>
      <c r="D1689" s="83"/>
      <c r="E1689" s="83"/>
      <c r="F1689" s="83"/>
      <c r="G1689" s="31"/>
      <c r="H1689" s="31"/>
    </row>
    <row r="1690" spans="1:8">
      <c r="A1690" s="31"/>
      <c r="B1690" s="105"/>
      <c r="C1690" s="112"/>
      <c r="D1690" s="83"/>
      <c r="E1690" s="83"/>
      <c r="F1690" s="83"/>
      <c r="G1690" s="31"/>
      <c r="H1690" s="31"/>
    </row>
    <row r="1691" spans="1:8">
      <c r="A1691" s="31"/>
      <c r="B1691" s="105"/>
      <c r="C1691" s="112"/>
      <c r="D1691" s="83"/>
      <c r="E1691" s="83"/>
      <c r="F1691" s="83"/>
      <c r="G1691" s="31"/>
      <c r="H1691" s="31"/>
    </row>
    <row r="1692" spans="1:8">
      <c r="A1692" s="31"/>
      <c r="B1692" s="105"/>
      <c r="C1692" s="112"/>
      <c r="D1692" s="83"/>
      <c r="E1692" s="83"/>
      <c r="F1692" s="83"/>
      <c r="G1692" s="31"/>
      <c r="H1692" s="31"/>
    </row>
    <row r="1693" spans="1:8">
      <c r="A1693" s="31"/>
      <c r="B1693" s="105"/>
      <c r="C1693" s="112"/>
      <c r="D1693" s="83"/>
      <c r="E1693" s="83"/>
      <c r="F1693" s="83"/>
      <c r="G1693" s="31"/>
      <c r="H1693" s="31"/>
    </row>
    <row r="1694" spans="1:8">
      <c r="A1694" s="31"/>
      <c r="B1694" s="105"/>
      <c r="C1694" s="112"/>
      <c r="D1694" s="83"/>
      <c r="E1694" s="83"/>
      <c r="F1694" s="83"/>
      <c r="G1694" s="31"/>
      <c r="H1694" s="31"/>
    </row>
    <row r="1695" spans="1:8">
      <c r="A1695" s="31"/>
      <c r="B1695" s="105"/>
      <c r="C1695" s="112"/>
      <c r="D1695" s="83"/>
      <c r="E1695" s="83"/>
      <c r="F1695" s="83"/>
      <c r="G1695" s="31"/>
      <c r="H1695" s="31"/>
    </row>
    <row r="1696" spans="1:8">
      <c r="A1696" s="31"/>
      <c r="B1696" s="105"/>
      <c r="C1696" s="112"/>
      <c r="D1696" s="83"/>
      <c r="E1696" s="83"/>
      <c r="F1696" s="83"/>
      <c r="G1696" s="31"/>
      <c r="H1696" s="31"/>
    </row>
    <row r="1697" spans="1:8">
      <c r="A1697" s="31"/>
      <c r="B1697" s="105"/>
      <c r="C1697" s="112"/>
      <c r="D1697" s="83"/>
      <c r="E1697" s="83"/>
      <c r="F1697" s="83"/>
      <c r="G1697" s="31"/>
      <c r="H1697" s="31"/>
    </row>
    <row r="1698" spans="1:8">
      <c r="A1698" s="31"/>
      <c r="B1698" s="105"/>
      <c r="C1698" s="112"/>
      <c r="D1698" s="83"/>
      <c r="E1698" s="83"/>
      <c r="F1698" s="83"/>
      <c r="G1698" s="31"/>
      <c r="H1698" s="31"/>
    </row>
    <row r="1699" spans="1:8">
      <c r="A1699" s="31"/>
      <c r="B1699" s="105"/>
      <c r="C1699" s="112"/>
      <c r="D1699" s="83"/>
      <c r="E1699" s="83"/>
      <c r="F1699" s="83"/>
      <c r="G1699" s="31"/>
      <c r="H1699" s="31"/>
    </row>
    <row r="1700" spans="1:8">
      <c r="A1700" s="31"/>
      <c r="B1700" s="105"/>
      <c r="C1700" s="112"/>
      <c r="D1700" s="83"/>
      <c r="E1700" s="83"/>
      <c r="F1700" s="83"/>
      <c r="G1700" s="31"/>
      <c r="H1700" s="31"/>
    </row>
    <row r="1701" spans="1:8">
      <c r="A1701" s="31"/>
      <c r="B1701" s="105"/>
      <c r="C1701" s="112"/>
      <c r="D1701" s="83"/>
      <c r="E1701" s="83"/>
      <c r="F1701" s="83"/>
      <c r="G1701" s="31"/>
      <c r="H1701" s="31"/>
    </row>
    <row r="1702" spans="1:8">
      <c r="A1702" s="31"/>
      <c r="B1702" s="105"/>
      <c r="C1702" s="112"/>
      <c r="D1702" s="83"/>
      <c r="E1702" s="83"/>
      <c r="F1702" s="83"/>
      <c r="G1702" s="31"/>
      <c r="H1702" s="31"/>
    </row>
    <row r="1703" spans="1:8">
      <c r="A1703" s="31"/>
      <c r="B1703" s="105"/>
      <c r="C1703" s="112"/>
      <c r="D1703" s="83"/>
      <c r="E1703" s="83"/>
      <c r="F1703" s="83"/>
      <c r="G1703" s="31"/>
      <c r="H1703" s="31"/>
    </row>
    <row r="1704" spans="1:8">
      <c r="A1704" s="31"/>
      <c r="B1704" s="105"/>
      <c r="C1704" s="112"/>
      <c r="D1704" s="83"/>
      <c r="E1704" s="83"/>
      <c r="F1704" s="83"/>
      <c r="G1704" s="31"/>
      <c r="H1704" s="31"/>
    </row>
    <row r="1705" spans="1:8">
      <c r="A1705" s="31"/>
      <c r="B1705" s="105"/>
      <c r="C1705" s="112"/>
      <c r="D1705" s="83"/>
      <c r="E1705" s="83"/>
      <c r="F1705" s="83"/>
      <c r="G1705" s="31"/>
      <c r="H1705" s="31"/>
    </row>
    <row r="1706" spans="1:8">
      <c r="A1706" s="31"/>
      <c r="B1706" s="105"/>
      <c r="C1706" s="112"/>
      <c r="D1706" s="83"/>
      <c r="E1706" s="83"/>
      <c r="F1706" s="83"/>
      <c r="G1706" s="31"/>
      <c r="H1706" s="31"/>
    </row>
    <row r="1707" spans="1:8">
      <c r="A1707" s="31"/>
      <c r="B1707" s="105"/>
      <c r="C1707" s="112"/>
      <c r="D1707" s="83"/>
      <c r="E1707" s="83"/>
      <c r="F1707" s="83"/>
      <c r="G1707" s="31"/>
      <c r="H1707" s="31"/>
    </row>
    <row r="1708" spans="1:8">
      <c r="A1708" s="31"/>
      <c r="B1708" s="105"/>
      <c r="C1708" s="112"/>
      <c r="D1708" s="83"/>
      <c r="E1708" s="83"/>
      <c r="F1708" s="83"/>
      <c r="G1708" s="31"/>
      <c r="H1708" s="31"/>
    </row>
    <row r="1709" spans="1:8">
      <c r="A1709" s="31"/>
      <c r="B1709" s="105"/>
      <c r="C1709" s="112"/>
      <c r="D1709" s="83"/>
      <c r="E1709" s="83"/>
      <c r="F1709" s="83"/>
      <c r="G1709" s="31"/>
      <c r="H1709" s="31"/>
    </row>
    <row r="1710" spans="1:8">
      <c r="A1710" s="31"/>
      <c r="B1710" s="105"/>
      <c r="C1710" s="112"/>
      <c r="D1710" s="83"/>
      <c r="E1710" s="83"/>
      <c r="F1710" s="83"/>
      <c r="G1710" s="31"/>
      <c r="H1710" s="31"/>
    </row>
    <row r="1711" spans="1:8">
      <c r="A1711" s="31"/>
      <c r="B1711" s="105"/>
      <c r="C1711" s="112"/>
      <c r="D1711" s="83"/>
      <c r="E1711" s="83"/>
      <c r="F1711" s="83"/>
      <c r="G1711" s="31"/>
      <c r="H1711" s="31"/>
    </row>
    <row r="1712" spans="1:8">
      <c r="A1712" s="31"/>
      <c r="B1712" s="105"/>
      <c r="C1712" s="112"/>
      <c r="D1712" s="83"/>
      <c r="E1712" s="83"/>
      <c r="F1712" s="83"/>
      <c r="G1712" s="31"/>
      <c r="H1712" s="31"/>
    </row>
    <row r="1713" spans="1:8">
      <c r="A1713" s="31"/>
      <c r="B1713" s="105"/>
      <c r="C1713" s="112"/>
      <c r="D1713" s="83"/>
      <c r="E1713" s="83"/>
      <c r="F1713" s="83"/>
      <c r="G1713" s="31"/>
      <c r="H1713" s="31"/>
    </row>
    <row r="1714" spans="1:8">
      <c r="A1714" s="31"/>
      <c r="B1714" s="105"/>
      <c r="C1714" s="112"/>
      <c r="D1714" s="83"/>
      <c r="E1714" s="83"/>
      <c r="F1714" s="83"/>
      <c r="G1714" s="31"/>
      <c r="H1714" s="31"/>
    </row>
    <row r="1715" spans="1:8">
      <c r="A1715" s="31"/>
      <c r="B1715" s="105"/>
      <c r="C1715" s="112"/>
      <c r="D1715" s="83"/>
      <c r="E1715" s="83"/>
      <c r="F1715" s="83"/>
      <c r="G1715" s="31"/>
      <c r="H1715" s="31"/>
    </row>
    <row r="1716" spans="1:8">
      <c r="A1716" s="31"/>
      <c r="B1716" s="105"/>
      <c r="C1716" s="112"/>
      <c r="D1716" s="83"/>
      <c r="E1716" s="83"/>
      <c r="F1716" s="83"/>
      <c r="G1716" s="31"/>
      <c r="H1716" s="31"/>
    </row>
    <row r="1717" spans="1:8">
      <c r="A1717" s="31"/>
      <c r="B1717" s="105"/>
      <c r="C1717" s="112"/>
      <c r="D1717" s="83"/>
      <c r="E1717" s="83"/>
      <c r="F1717" s="83"/>
      <c r="G1717" s="31"/>
      <c r="H1717" s="31"/>
    </row>
    <row r="1718" spans="1:8">
      <c r="A1718" s="31"/>
      <c r="B1718" s="105"/>
      <c r="C1718" s="112"/>
      <c r="D1718" s="83"/>
      <c r="E1718" s="83"/>
      <c r="F1718" s="83"/>
      <c r="G1718" s="31"/>
      <c r="H1718" s="31"/>
    </row>
    <row r="1719" spans="1:8">
      <c r="A1719" s="31"/>
      <c r="B1719" s="105"/>
      <c r="C1719" s="112"/>
      <c r="D1719" s="83"/>
      <c r="E1719" s="83"/>
      <c r="F1719" s="83"/>
      <c r="G1719" s="31"/>
      <c r="H1719" s="31"/>
    </row>
    <row r="1720" spans="1:8">
      <c r="A1720" s="31"/>
      <c r="B1720" s="105"/>
      <c r="C1720" s="112"/>
      <c r="D1720" s="83"/>
      <c r="E1720" s="83"/>
      <c r="F1720" s="83"/>
      <c r="G1720" s="31"/>
      <c r="H1720" s="31"/>
    </row>
    <row r="1721" spans="1:8">
      <c r="A1721" s="31"/>
      <c r="B1721" s="105"/>
      <c r="C1721" s="112"/>
      <c r="D1721" s="83"/>
      <c r="E1721" s="83"/>
      <c r="F1721" s="83"/>
      <c r="G1721" s="31"/>
      <c r="H1721" s="31"/>
    </row>
    <row r="1722" spans="1:8">
      <c r="A1722" s="31"/>
      <c r="B1722" s="105"/>
      <c r="C1722" s="112"/>
      <c r="D1722" s="83"/>
      <c r="E1722" s="83"/>
      <c r="F1722" s="83"/>
      <c r="G1722" s="31"/>
      <c r="H1722" s="31"/>
    </row>
    <row r="1723" spans="1:8">
      <c r="A1723" s="31"/>
      <c r="B1723" s="105"/>
      <c r="C1723" s="112"/>
      <c r="D1723" s="83"/>
      <c r="E1723" s="83"/>
      <c r="F1723" s="83"/>
      <c r="G1723" s="31"/>
      <c r="H1723" s="31"/>
    </row>
    <row r="1724" spans="1:8">
      <c r="A1724" s="31"/>
      <c r="B1724" s="105"/>
      <c r="C1724" s="112"/>
      <c r="D1724" s="83"/>
      <c r="E1724" s="83"/>
      <c r="F1724" s="83"/>
      <c r="G1724" s="31"/>
      <c r="H1724" s="31"/>
    </row>
    <row r="1725" spans="1:8">
      <c r="A1725" s="31"/>
      <c r="B1725" s="105"/>
      <c r="C1725" s="112"/>
      <c r="D1725" s="83"/>
      <c r="E1725" s="83"/>
      <c r="F1725" s="83"/>
      <c r="G1725" s="31"/>
      <c r="H1725" s="31"/>
    </row>
    <row r="1726" spans="1:8">
      <c r="A1726" s="31"/>
      <c r="B1726" s="105"/>
      <c r="C1726" s="112"/>
      <c r="D1726" s="83"/>
      <c r="E1726" s="83"/>
      <c r="F1726" s="83"/>
      <c r="G1726" s="31"/>
      <c r="H1726" s="31"/>
    </row>
    <row r="1727" spans="1:8">
      <c r="A1727" s="31"/>
      <c r="B1727" s="105"/>
      <c r="C1727" s="112"/>
      <c r="D1727" s="83"/>
      <c r="E1727" s="83"/>
      <c r="F1727" s="83"/>
      <c r="G1727" s="31"/>
      <c r="H1727" s="31"/>
    </row>
    <row r="1728" spans="1:8">
      <c r="A1728" s="31"/>
      <c r="B1728" s="105"/>
      <c r="C1728" s="112"/>
      <c r="D1728" s="83"/>
      <c r="E1728" s="83"/>
      <c r="F1728" s="83"/>
      <c r="G1728" s="31"/>
      <c r="H1728" s="31"/>
    </row>
    <row r="1729" spans="1:8">
      <c r="A1729" s="31"/>
      <c r="B1729" s="105"/>
      <c r="C1729" s="112"/>
      <c r="D1729" s="83"/>
      <c r="E1729" s="83"/>
      <c r="F1729" s="83"/>
      <c r="G1729" s="31"/>
      <c r="H1729" s="31"/>
    </row>
    <row r="1730" spans="1:8">
      <c r="A1730" s="31"/>
      <c r="B1730" s="105"/>
      <c r="C1730" s="112"/>
      <c r="D1730" s="83"/>
      <c r="E1730" s="83"/>
      <c r="F1730" s="83"/>
      <c r="G1730" s="31"/>
      <c r="H1730" s="31"/>
    </row>
    <row r="1731" spans="1:8">
      <c r="A1731" s="31"/>
      <c r="B1731" s="105"/>
      <c r="C1731" s="112"/>
      <c r="D1731" s="83"/>
      <c r="E1731" s="83"/>
      <c r="F1731" s="83"/>
      <c r="G1731" s="31"/>
      <c r="H1731" s="31"/>
    </row>
    <row r="1732" spans="1:8">
      <c r="A1732" s="31"/>
      <c r="B1732" s="105"/>
      <c r="C1732" s="112"/>
      <c r="D1732" s="83"/>
      <c r="E1732" s="83"/>
      <c r="F1732" s="83"/>
      <c r="G1732" s="31"/>
      <c r="H1732" s="31"/>
    </row>
    <row r="1733" spans="1:8">
      <c r="A1733" s="31"/>
      <c r="B1733" s="105"/>
      <c r="C1733" s="112"/>
      <c r="D1733" s="83"/>
      <c r="E1733" s="83"/>
      <c r="F1733" s="83"/>
      <c r="G1733" s="31"/>
      <c r="H1733" s="31"/>
    </row>
    <row r="1734" spans="1:8">
      <c r="A1734" s="31"/>
      <c r="B1734" s="105"/>
      <c r="C1734" s="112"/>
      <c r="D1734" s="83"/>
      <c r="E1734" s="83"/>
      <c r="F1734" s="83"/>
      <c r="G1734" s="31"/>
      <c r="H1734" s="31"/>
    </row>
    <row r="1735" spans="1:8">
      <c r="A1735" s="31"/>
      <c r="B1735" s="105"/>
      <c r="C1735" s="112"/>
      <c r="D1735" s="83"/>
      <c r="E1735" s="83"/>
      <c r="F1735" s="83"/>
      <c r="G1735" s="31"/>
      <c r="H1735" s="31"/>
    </row>
    <row r="1736" spans="1:8">
      <c r="A1736" s="31"/>
      <c r="B1736" s="105"/>
      <c r="C1736" s="112"/>
      <c r="D1736" s="83"/>
      <c r="E1736" s="83"/>
      <c r="F1736" s="83"/>
      <c r="G1736" s="31"/>
      <c r="H1736" s="31"/>
    </row>
    <row r="1737" spans="1:8">
      <c r="A1737" s="31"/>
      <c r="B1737" s="105"/>
      <c r="C1737" s="112"/>
      <c r="D1737" s="83"/>
      <c r="E1737" s="83"/>
      <c r="F1737" s="83"/>
      <c r="G1737" s="31"/>
      <c r="H1737" s="31"/>
    </row>
    <row r="1738" spans="1:8">
      <c r="A1738" s="31"/>
      <c r="B1738" s="105"/>
      <c r="C1738" s="112"/>
      <c r="D1738" s="83"/>
      <c r="E1738" s="83"/>
      <c r="F1738" s="83"/>
      <c r="G1738" s="31"/>
      <c r="H1738" s="31"/>
    </row>
    <row r="1739" spans="1:8">
      <c r="A1739" s="31"/>
      <c r="B1739" s="105"/>
      <c r="C1739" s="112"/>
      <c r="D1739" s="83"/>
      <c r="E1739" s="83"/>
      <c r="F1739" s="83"/>
      <c r="G1739" s="31"/>
      <c r="H1739" s="31"/>
    </row>
    <row r="1740" spans="1:8">
      <c r="A1740" s="31"/>
      <c r="B1740" s="105"/>
      <c r="C1740" s="112"/>
      <c r="D1740" s="83"/>
      <c r="E1740" s="83"/>
      <c r="F1740" s="83"/>
      <c r="G1740" s="31"/>
      <c r="H1740" s="31"/>
    </row>
    <row r="1741" spans="1:8">
      <c r="A1741" s="31"/>
      <c r="B1741" s="105"/>
      <c r="C1741" s="112"/>
      <c r="D1741" s="83"/>
      <c r="E1741" s="83"/>
      <c r="F1741" s="83"/>
      <c r="G1741" s="31"/>
      <c r="H1741" s="31"/>
    </row>
    <row r="1742" spans="1:8">
      <c r="A1742" s="31"/>
      <c r="B1742" s="105"/>
      <c r="C1742" s="112"/>
      <c r="D1742" s="83"/>
      <c r="E1742" s="83"/>
      <c r="F1742" s="83"/>
      <c r="G1742" s="31"/>
      <c r="H1742" s="31"/>
    </row>
    <row r="1743" spans="1:8">
      <c r="A1743" s="31"/>
      <c r="B1743" s="105"/>
      <c r="C1743" s="112"/>
      <c r="D1743" s="83"/>
      <c r="E1743" s="83"/>
      <c r="F1743" s="83"/>
      <c r="G1743" s="31"/>
      <c r="H1743" s="31"/>
    </row>
    <row r="1744" spans="1:8">
      <c r="A1744" s="31"/>
      <c r="B1744" s="105"/>
      <c r="C1744" s="112"/>
      <c r="D1744" s="83"/>
      <c r="E1744" s="83"/>
      <c r="F1744" s="83"/>
      <c r="G1744" s="31"/>
      <c r="H1744" s="31"/>
    </row>
    <row r="1745" spans="1:8">
      <c r="A1745" s="31"/>
      <c r="B1745" s="105"/>
      <c r="C1745" s="112"/>
      <c r="D1745" s="83"/>
      <c r="E1745" s="83"/>
      <c r="F1745" s="83"/>
      <c r="G1745" s="31"/>
      <c r="H1745" s="31"/>
    </row>
    <row r="1746" spans="1:8">
      <c r="A1746" s="31"/>
      <c r="B1746" s="105"/>
      <c r="C1746" s="112"/>
      <c r="D1746" s="83"/>
      <c r="E1746" s="83"/>
      <c r="F1746" s="83"/>
      <c r="G1746" s="31"/>
      <c r="H1746" s="31"/>
    </row>
    <row r="1747" spans="1:8">
      <c r="A1747" s="31"/>
      <c r="B1747" s="105"/>
      <c r="C1747" s="112"/>
      <c r="D1747" s="83"/>
      <c r="E1747" s="83"/>
      <c r="F1747" s="83"/>
      <c r="G1747" s="31"/>
      <c r="H1747" s="31"/>
    </row>
    <row r="1748" spans="1:8">
      <c r="A1748" s="31"/>
      <c r="B1748" s="105"/>
      <c r="C1748" s="112"/>
      <c r="D1748" s="83"/>
      <c r="E1748" s="83"/>
      <c r="F1748" s="83"/>
      <c r="G1748" s="31"/>
      <c r="H1748" s="31"/>
    </row>
    <row r="1749" spans="1:8">
      <c r="A1749" s="31"/>
      <c r="B1749" s="105"/>
      <c r="C1749" s="112"/>
      <c r="D1749" s="83"/>
      <c r="E1749" s="83"/>
      <c r="F1749" s="83"/>
      <c r="G1749" s="31"/>
      <c r="H1749" s="31"/>
    </row>
    <row r="1750" spans="1:8">
      <c r="A1750" s="31"/>
      <c r="B1750" s="105"/>
      <c r="C1750" s="112"/>
      <c r="D1750" s="83"/>
      <c r="E1750" s="83"/>
      <c r="F1750" s="83"/>
      <c r="G1750" s="31"/>
      <c r="H1750" s="31"/>
    </row>
    <row r="1751" spans="1:8">
      <c r="A1751" s="31"/>
      <c r="B1751" s="105"/>
      <c r="C1751" s="112"/>
      <c r="D1751" s="83"/>
      <c r="E1751" s="83"/>
      <c r="F1751" s="83"/>
      <c r="G1751" s="31"/>
      <c r="H1751" s="31"/>
    </row>
    <row r="1752" spans="1:8">
      <c r="A1752" s="31"/>
      <c r="B1752" s="105"/>
      <c r="C1752" s="112"/>
      <c r="D1752" s="83"/>
      <c r="E1752" s="83"/>
      <c r="F1752" s="83"/>
      <c r="G1752" s="31"/>
      <c r="H1752" s="31"/>
    </row>
    <row r="1753" spans="1:8">
      <c r="A1753" s="31"/>
      <c r="B1753" s="105"/>
      <c r="C1753" s="112"/>
      <c r="D1753" s="83"/>
      <c r="E1753" s="83"/>
      <c r="F1753" s="83"/>
      <c r="G1753" s="31"/>
      <c r="H1753" s="31"/>
    </row>
    <row r="1754" spans="1:8">
      <c r="A1754" s="31"/>
      <c r="B1754" s="105"/>
      <c r="C1754" s="112"/>
      <c r="D1754" s="83"/>
      <c r="E1754" s="83"/>
      <c r="F1754" s="83"/>
      <c r="G1754" s="31"/>
      <c r="H1754" s="31"/>
    </row>
    <row r="1755" spans="1:8">
      <c r="A1755" s="31"/>
      <c r="B1755" s="105"/>
      <c r="C1755" s="112"/>
      <c r="D1755" s="83"/>
      <c r="E1755" s="83"/>
      <c r="F1755" s="83"/>
      <c r="G1755" s="31"/>
      <c r="H1755" s="31"/>
    </row>
    <row r="1756" spans="1:8">
      <c r="A1756" s="31"/>
      <c r="B1756" s="105"/>
      <c r="C1756" s="112"/>
      <c r="D1756" s="83"/>
      <c r="E1756" s="83"/>
      <c r="F1756" s="83"/>
      <c r="G1756" s="31"/>
      <c r="H1756" s="31"/>
    </row>
    <row r="1757" spans="1:8">
      <c r="A1757" s="31"/>
      <c r="B1757" s="105"/>
      <c r="C1757" s="112"/>
      <c r="D1757" s="83"/>
      <c r="E1757" s="83"/>
      <c r="F1757" s="83"/>
      <c r="G1757" s="31"/>
      <c r="H1757" s="31"/>
    </row>
    <row r="1758" spans="1:8">
      <c r="A1758" s="31"/>
      <c r="B1758" s="105"/>
      <c r="C1758" s="112"/>
      <c r="D1758" s="83"/>
      <c r="E1758" s="83"/>
      <c r="F1758" s="83"/>
      <c r="G1758" s="31"/>
      <c r="H1758" s="31"/>
    </row>
    <row r="1759" spans="1:8">
      <c r="A1759" s="31"/>
      <c r="B1759" s="105"/>
      <c r="C1759" s="112"/>
      <c r="D1759" s="83"/>
      <c r="E1759" s="83"/>
      <c r="F1759" s="83"/>
      <c r="G1759" s="31"/>
      <c r="H1759" s="31"/>
    </row>
    <row r="1760" spans="1:8">
      <c r="A1760" s="31"/>
      <c r="B1760" s="105"/>
      <c r="C1760" s="112"/>
      <c r="D1760" s="83"/>
      <c r="E1760" s="83"/>
      <c r="F1760" s="83"/>
      <c r="G1760" s="31"/>
      <c r="H1760" s="31"/>
    </row>
    <row r="1761" spans="1:8">
      <c r="A1761" s="31"/>
      <c r="B1761" s="105"/>
      <c r="C1761" s="112"/>
      <c r="D1761" s="83"/>
      <c r="E1761" s="83"/>
      <c r="F1761" s="83"/>
      <c r="G1761" s="31"/>
      <c r="H1761" s="31"/>
    </row>
    <row r="1762" spans="1:8">
      <c r="A1762" s="31"/>
      <c r="B1762" s="105"/>
      <c r="C1762" s="112"/>
      <c r="D1762" s="83"/>
      <c r="E1762" s="83"/>
      <c r="F1762" s="83"/>
      <c r="G1762" s="31"/>
      <c r="H1762" s="31"/>
    </row>
    <row r="1763" spans="1:8">
      <c r="A1763" s="31"/>
      <c r="B1763" s="105"/>
      <c r="C1763" s="112"/>
      <c r="D1763" s="83"/>
      <c r="E1763" s="83"/>
      <c r="F1763" s="83"/>
      <c r="G1763" s="31"/>
      <c r="H1763" s="31"/>
    </row>
    <row r="1764" spans="1:8">
      <c r="A1764" s="31"/>
      <c r="B1764" s="105"/>
      <c r="C1764" s="112"/>
      <c r="D1764" s="83"/>
      <c r="E1764" s="83"/>
      <c r="F1764" s="83"/>
      <c r="G1764" s="31"/>
      <c r="H1764" s="31"/>
    </row>
    <row r="1765" spans="1:8">
      <c r="A1765" s="31"/>
      <c r="B1765" s="105"/>
      <c r="C1765" s="112"/>
      <c r="D1765" s="83"/>
      <c r="E1765" s="83"/>
      <c r="F1765" s="83"/>
      <c r="G1765" s="31"/>
      <c r="H1765" s="31"/>
    </row>
    <row r="1766" spans="1:8">
      <c r="A1766" s="31"/>
      <c r="B1766" s="105"/>
      <c r="C1766" s="112"/>
      <c r="D1766" s="83"/>
      <c r="E1766" s="83"/>
      <c r="F1766" s="83"/>
      <c r="G1766" s="31"/>
      <c r="H1766" s="31"/>
    </row>
    <row r="1767" spans="1:8">
      <c r="A1767" s="31"/>
      <c r="B1767" s="105"/>
      <c r="C1767" s="112"/>
      <c r="D1767" s="83"/>
      <c r="E1767" s="83"/>
      <c r="F1767" s="83"/>
      <c r="G1767" s="31"/>
      <c r="H1767" s="31"/>
    </row>
    <row r="1768" spans="1:8">
      <c r="A1768" s="31"/>
      <c r="B1768" s="105"/>
      <c r="C1768" s="112"/>
      <c r="D1768" s="83"/>
      <c r="E1768" s="83"/>
      <c r="F1768" s="83"/>
      <c r="G1768" s="31"/>
      <c r="H1768" s="31"/>
    </row>
    <row r="1769" spans="1:8">
      <c r="A1769" s="31"/>
      <c r="B1769" s="105"/>
      <c r="C1769" s="112"/>
      <c r="D1769" s="83"/>
      <c r="E1769" s="83"/>
      <c r="F1769" s="83"/>
      <c r="G1769" s="31"/>
      <c r="H1769" s="31"/>
    </row>
    <row r="1770" spans="1:8">
      <c r="A1770" s="31"/>
      <c r="B1770" s="105"/>
      <c r="C1770" s="112"/>
      <c r="D1770" s="83"/>
      <c r="E1770" s="83"/>
      <c r="F1770" s="83"/>
      <c r="G1770" s="31"/>
      <c r="H1770" s="31"/>
    </row>
    <row r="1771" spans="1:8">
      <c r="A1771" s="31"/>
      <c r="B1771" s="105"/>
      <c r="C1771" s="112"/>
      <c r="D1771" s="83"/>
      <c r="E1771" s="83"/>
      <c r="F1771" s="83"/>
      <c r="G1771" s="31"/>
      <c r="H1771" s="31"/>
    </row>
    <row r="1772" spans="1:8">
      <c r="A1772" s="31"/>
      <c r="B1772" s="105"/>
      <c r="C1772" s="112"/>
      <c r="D1772" s="83"/>
      <c r="E1772" s="83"/>
      <c r="F1772" s="83"/>
      <c r="G1772" s="31"/>
      <c r="H1772" s="31"/>
    </row>
    <row r="1773" spans="1:8">
      <c r="A1773" s="31"/>
      <c r="B1773" s="105"/>
      <c r="C1773" s="112"/>
      <c r="D1773" s="83"/>
      <c r="E1773" s="83"/>
      <c r="F1773" s="83"/>
      <c r="G1773" s="31"/>
      <c r="H1773" s="31"/>
    </row>
    <row r="1774" spans="1:8">
      <c r="A1774" s="31"/>
      <c r="B1774" s="105"/>
      <c r="C1774" s="112"/>
      <c r="D1774" s="83"/>
      <c r="E1774" s="83"/>
      <c r="F1774" s="83"/>
      <c r="G1774" s="31"/>
      <c r="H1774" s="31"/>
    </row>
    <row r="1775" spans="1:8">
      <c r="A1775" s="31"/>
      <c r="B1775" s="105"/>
      <c r="C1775" s="112"/>
      <c r="D1775" s="83"/>
      <c r="E1775" s="83"/>
      <c r="F1775" s="83"/>
      <c r="G1775" s="31"/>
      <c r="H1775" s="31"/>
    </row>
    <row r="1776" spans="1:8">
      <c r="A1776" s="31"/>
      <c r="B1776" s="105"/>
      <c r="C1776" s="112"/>
      <c r="D1776" s="83"/>
      <c r="E1776" s="83"/>
      <c r="F1776" s="83"/>
      <c r="G1776" s="31"/>
      <c r="H1776" s="31"/>
    </row>
    <row r="1777" spans="1:8">
      <c r="A1777" s="31"/>
      <c r="B1777" s="105"/>
      <c r="C1777" s="112"/>
      <c r="D1777" s="83"/>
      <c r="E1777" s="83"/>
      <c r="F1777" s="83"/>
      <c r="G1777" s="31"/>
      <c r="H1777" s="31"/>
    </row>
    <row r="1778" spans="1:8">
      <c r="A1778" s="31"/>
      <c r="B1778" s="105"/>
      <c r="C1778" s="112"/>
      <c r="D1778" s="83"/>
      <c r="E1778" s="83"/>
      <c r="F1778" s="83"/>
      <c r="G1778" s="31"/>
      <c r="H1778" s="31"/>
    </row>
    <row r="1779" spans="1:8">
      <c r="A1779" s="31"/>
      <c r="B1779" s="105"/>
      <c r="C1779" s="112"/>
      <c r="D1779" s="83"/>
      <c r="E1779" s="83"/>
      <c r="F1779" s="83"/>
      <c r="G1779" s="31"/>
      <c r="H1779" s="31"/>
    </row>
    <row r="1780" spans="1:8">
      <c r="A1780" s="31"/>
      <c r="B1780" s="105"/>
      <c r="C1780" s="112"/>
      <c r="D1780" s="83"/>
      <c r="E1780" s="83"/>
      <c r="F1780" s="83"/>
      <c r="G1780" s="31"/>
      <c r="H1780" s="31"/>
    </row>
    <row r="1781" spans="1:8">
      <c r="A1781" s="31"/>
      <c r="B1781" s="105"/>
      <c r="C1781" s="112"/>
      <c r="D1781" s="83"/>
      <c r="E1781" s="83"/>
      <c r="F1781" s="83"/>
      <c r="G1781" s="31"/>
      <c r="H1781" s="31"/>
    </row>
    <row r="1782" spans="1:8">
      <c r="A1782" s="31"/>
      <c r="B1782" s="105"/>
      <c r="C1782" s="112"/>
      <c r="D1782" s="83"/>
      <c r="E1782" s="83"/>
      <c r="F1782" s="83"/>
      <c r="G1782" s="31"/>
      <c r="H1782" s="31"/>
    </row>
    <row r="1783" spans="1:8">
      <c r="A1783" s="31"/>
      <c r="B1783" s="105"/>
      <c r="C1783" s="112"/>
      <c r="D1783" s="83"/>
      <c r="E1783" s="83"/>
      <c r="F1783" s="83"/>
      <c r="G1783" s="31"/>
      <c r="H1783" s="31"/>
    </row>
    <row r="1784" spans="1:8">
      <c r="A1784" s="31"/>
      <c r="B1784" s="105"/>
      <c r="C1784" s="112"/>
      <c r="D1784" s="83"/>
      <c r="E1784" s="83"/>
      <c r="F1784" s="83"/>
      <c r="G1784" s="31"/>
      <c r="H1784" s="31"/>
    </row>
    <row r="1785" spans="1:8">
      <c r="A1785" s="31"/>
      <c r="B1785" s="105"/>
      <c r="C1785" s="112"/>
      <c r="D1785" s="83"/>
      <c r="E1785" s="83"/>
      <c r="F1785" s="83"/>
      <c r="G1785" s="31"/>
      <c r="H1785" s="31"/>
    </row>
    <row r="1786" spans="1:8">
      <c r="A1786" s="31"/>
      <c r="B1786" s="105"/>
      <c r="C1786" s="112"/>
      <c r="D1786" s="83"/>
      <c r="E1786" s="83"/>
      <c r="F1786" s="83"/>
      <c r="G1786" s="31"/>
      <c r="H1786" s="31"/>
    </row>
    <row r="1787" spans="1:8">
      <c r="A1787" s="31"/>
      <c r="B1787" s="105"/>
      <c r="C1787" s="112"/>
      <c r="D1787" s="83"/>
      <c r="E1787" s="83"/>
      <c r="F1787" s="83"/>
      <c r="G1787" s="31"/>
      <c r="H1787" s="31"/>
    </row>
    <row r="1788" spans="1:8">
      <c r="A1788" s="31"/>
      <c r="B1788" s="105"/>
      <c r="C1788" s="112"/>
      <c r="D1788" s="83"/>
      <c r="E1788" s="83"/>
      <c r="F1788" s="83"/>
      <c r="G1788" s="31"/>
      <c r="H1788" s="31"/>
    </row>
    <row r="1789" spans="1:8">
      <c r="A1789" s="31"/>
      <c r="B1789" s="105"/>
      <c r="C1789" s="112"/>
      <c r="D1789" s="83"/>
      <c r="E1789" s="83"/>
      <c r="F1789" s="83"/>
      <c r="G1789" s="31"/>
      <c r="H1789" s="31"/>
    </row>
    <row r="1790" spans="1:8">
      <c r="A1790" s="31"/>
      <c r="B1790" s="105"/>
      <c r="C1790" s="112"/>
      <c r="D1790" s="83"/>
      <c r="E1790" s="83"/>
      <c r="F1790" s="83"/>
      <c r="G1790" s="31"/>
      <c r="H1790" s="31"/>
    </row>
    <row r="1791" spans="1:8">
      <c r="A1791" s="31"/>
      <c r="B1791" s="105"/>
      <c r="C1791" s="112"/>
      <c r="D1791" s="83"/>
      <c r="E1791" s="83"/>
      <c r="F1791" s="83"/>
      <c r="G1791" s="31"/>
      <c r="H1791" s="31"/>
    </row>
    <row r="1792" spans="1:8">
      <c r="A1792" s="31"/>
      <c r="B1792" s="105"/>
      <c r="C1792" s="112"/>
      <c r="D1792" s="83"/>
      <c r="E1792" s="83"/>
      <c r="F1792" s="83"/>
      <c r="G1792" s="31"/>
      <c r="H1792" s="31"/>
    </row>
    <row r="1793" spans="1:8">
      <c r="A1793" s="31"/>
      <c r="B1793" s="105"/>
      <c r="C1793" s="112"/>
      <c r="D1793" s="83"/>
      <c r="E1793" s="83"/>
      <c r="F1793" s="83"/>
      <c r="G1793" s="31"/>
      <c r="H1793" s="31"/>
    </row>
    <row r="1794" spans="1:8">
      <c r="A1794" s="31"/>
      <c r="B1794" s="105"/>
      <c r="C1794" s="112"/>
      <c r="D1794" s="83"/>
      <c r="E1794" s="83"/>
      <c r="F1794" s="83"/>
      <c r="G1794" s="31"/>
      <c r="H1794" s="31"/>
    </row>
    <row r="1795" spans="1:8">
      <c r="A1795" s="31"/>
      <c r="B1795" s="105"/>
      <c r="C1795" s="112"/>
      <c r="D1795" s="83"/>
      <c r="E1795" s="83"/>
      <c r="F1795" s="83"/>
      <c r="G1795" s="31"/>
      <c r="H1795" s="31"/>
    </row>
    <row r="1796" spans="1:8">
      <c r="A1796" s="31"/>
      <c r="B1796" s="105"/>
      <c r="C1796" s="112"/>
      <c r="D1796" s="83"/>
      <c r="E1796" s="83"/>
      <c r="F1796" s="83"/>
      <c r="G1796" s="31"/>
      <c r="H1796" s="31"/>
    </row>
    <row r="1797" spans="1:8">
      <c r="A1797" s="31"/>
      <c r="B1797" s="105"/>
      <c r="C1797" s="112"/>
      <c r="D1797" s="83"/>
      <c r="E1797" s="83"/>
      <c r="F1797" s="83"/>
      <c r="G1797" s="31"/>
      <c r="H1797" s="31"/>
    </row>
    <row r="1798" spans="1:8">
      <c r="A1798" s="31"/>
      <c r="B1798" s="105"/>
      <c r="C1798" s="112"/>
      <c r="D1798" s="83"/>
      <c r="E1798" s="83"/>
      <c r="F1798" s="83"/>
      <c r="G1798" s="31"/>
      <c r="H1798" s="31"/>
    </row>
    <row r="1799" spans="1:8">
      <c r="A1799" s="31"/>
      <c r="B1799" s="105"/>
      <c r="C1799" s="112"/>
      <c r="D1799" s="83"/>
      <c r="E1799" s="83"/>
      <c r="F1799" s="83"/>
      <c r="G1799" s="31"/>
      <c r="H1799" s="31"/>
    </row>
    <row r="1800" spans="1:8">
      <c r="A1800" s="31"/>
      <c r="B1800" s="105"/>
      <c r="C1800" s="112"/>
      <c r="D1800" s="83"/>
      <c r="E1800" s="83"/>
      <c r="F1800" s="83"/>
      <c r="G1800" s="31"/>
      <c r="H1800" s="31"/>
    </row>
    <row r="1801" spans="1:8">
      <c r="A1801" s="31"/>
      <c r="B1801" s="105"/>
      <c r="C1801" s="112"/>
      <c r="D1801" s="83"/>
      <c r="E1801" s="83"/>
      <c r="F1801" s="83"/>
      <c r="G1801" s="31"/>
      <c r="H1801" s="31"/>
    </row>
    <row r="1802" spans="1:8">
      <c r="A1802" s="31"/>
      <c r="B1802" s="105"/>
      <c r="C1802" s="112"/>
      <c r="D1802" s="83"/>
      <c r="E1802" s="83"/>
      <c r="F1802" s="83"/>
      <c r="G1802" s="31"/>
      <c r="H1802" s="31"/>
    </row>
    <row r="1803" spans="1:8">
      <c r="A1803" s="31"/>
      <c r="B1803" s="105"/>
      <c r="C1803" s="112"/>
      <c r="D1803" s="83"/>
      <c r="E1803" s="83"/>
      <c r="F1803" s="83"/>
      <c r="G1803" s="31"/>
      <c r="H1803" s="31"/>
    </row>
    <row r="1804" spans="1:8">
      <c r="A1804" s="31"/>
      <c r="B1804" s="105"/>
      <c r="C1804" s="112"/>
      <c r="D1804" s="83"/>
      <c r="E1804" s="83"/>
      <c r="F1804" s="83"/>
      <c r="G1804" s="31"/>
      <c r="H1804" s="31"/>
    </row>
    <row r="1805" spans="1:8">
      <c r="A1805" s="31"/>
      <c r="B1805" s="105"/>
      <c r="C1805" s="112"/>
      <c r="D1805" s="83"/>
      <c r="E1805" s="83"/>
      <c r="F1805" s="83"/>
      <c r="G1805" s="31"/>
      <c r="H1805" s="31"/>
    </row>
    <row r="1806" spans="1:8">
      <c r="A1806" s="31"/>
      <c r="B1806" s="105"/>
      <c r="C1806" s="112"/>
      <c r="D1806" s="83"/>
      <c r="E1806" s="83"/>
      <c r="F1806" s="83"/>
      <c r="G1806" s="31"/>
      <c r="H1806" s="31"/>
    </row>
    <row r="1807" spans="1:8">
      <c r="A1807" s="31"/>
      <c r="B1807" s="105"/>
      <c r="C1807" s="112"/>
      <c r="D1807" s="83"/>
      <c r="E1807" s="83"/>
      <c r="F1807" s="83"/>
      <c r="G1807" s="31"/>
      <c r="H1807" s="31"/>
    </row>
    <row r="1808" spans="1:8">
      <c r="A1808" s="31"/>
      <c r="B1808" s="105"/>
      <c r="C1808" s="112"/>
      <c r="D1808" s="83"/>
      <c r="E1808" s="83"/>
      <c r="F1808" s="83"/>
      <c r="G1808" s="31"/>
      <c r="H1808" s="31"/>
    </row>
    <row r="1809" spans="1:8">
      <c r="A1809" s="31"/>
      <c r="B1809" s="105"/>
      <c r="C1809" s="112"/>
      <c r="D1809" s="83"/>
      <c r="E1809" s="83"/>
      <c r="F1809" s="83"/>
      <c r="G1809" s="31"/>
      <c r="H1809" s="31"/>
    </row>
    <row r="1810" spans="1:8">
      <c r="A1810" s="31"/>
      <c r="B1810" s="105"/>
      <c r="C1810" s="112"/>
      <c r="D1810" s="83"/>
      <c r="E1810" s="83"/>
      <c r="F1810" s="83"/>
      <c r="G1810" s="31"/>
      <c r="H1810" s="31"/>
    </row>
    <row r="1811" spans="1:8">
      <c r="A1811" s="31"/>
      <c r="B1811" s="105"/>
      <c r="C1811" s="112"/>
      <c r="D1811" s="83"/>
      <c r="E1811" s="83"/>
      <c r="F1811" s="83"/>
      <c r="G1811" s="31"/>
      <c r="H1811" s="31"/>
    </row>
    <row r="1812" spans="1:8">
      <c r="A1812" s="31"/>
      <c r="B1812" s="105"/>
      <c r="C1812" s="112"/>
      <c r="D1812" s="83"/>
      <c r="E1812" s="83"/>
      <c r="F1812" s="83"/>
      <c r="G1812" s="31"/>
      <c r="H1812" s="31"/>
    </row>
    <row r="1813" spans="1:8">
      <c r="A1813" s="31"/>
      <c r="B1813" s="105"/>
      <c r="C1813" s="112"/>
      <c r="D1813" s="83"/>
      <c r="E1813" s="83"/>
      <c r="F1813" s="83"/>
      <c r="G1813" s="31"/>
      <c r="H1813" s="31"/>
    </row>
    <row r="1814" spans="1:8">
      <c r="A1814" s="31"/>
      <c r="B1814" s="105"/>
      <c r="C1814" s="112"/>
      <c r="D1814" s="83"/>
      <c r="E1814" s="83"/>
      <c r="F1814" s="83"/>
      <c r="G1814" s="31"/>
      <c r="H1814" s="31"/>
    </row>
    <row r="1815" spans="1:8">
      <c r="A1815" s="31"/>
      <c r="B1815" s="105"/>
      <c r="C1815" s="112"/>
      <c r="D1815" s="83"/>
      <c r="E1815" s="83"/>
      <c r="F1815" s="83"/>
      <c r="G1815" s="31"/>
      <c r="H1815" s="31"/>
    </row>
    <row r="1816" spans="1:8">
      <c r="A1816" s="31"/>
      <c r="B1816" s="105"/>
      <c r="C1816" s="112"/>
      <c r="D1816" s="83"/>
      <c r="E1816" s="83"/>
      <c r="F1816" s="83"/>
      <c r="G1816" s="31"/>
      <c r="H1816" s="31"/>
    </row>
    <row r="1817" spans="1:8">
      <c r="A1817" s="31"/>
      <c r="B1817" s="105"/>
      <c r="C1817" s="112"/>
      <c r="D1817" s="83"/>
      <c r="E1817" s="83"/>
      <c r="F1817" s="83"/>
      <c r="G1817" s="31"/>
      <c r="H1817" s="31"/>
    </row>
    <row r="1818" spans="1:8">
      <c r="A1818" s="31"/>
      <c r="B1818" s="105"/>
      <c r="C1818" s="112"/>
      <c r="D1818" s="83"/>
      <c r="E1818" s="83"/>
      <c r="F1818" s="83"/>
      <c r="G1818" s="31"/>
      <c r="H1818" s="31"/>
    </row>
    <row r="1819" spans="1:8">
      <c r="A1819" s="31"/>
      <c r="B1819" s="105"/>
      <c r="C1819" s="112"/>
      <c r="D1819" s="83"/>
      <c r="E1819" s="83"/>
      <c r="F1819" s="83"/>
      <c r="G1819" s="31"/>
      <c r="H1819" s="31"/>
    </row>
    <row r="1820" spans="1:8">
      <c r="A1820" s="31"/>
      <c r="B1820" s="105"/>
      <c r="C1820" s="112"/>
      <c r="D1820" s="83"/>
      <c r="E1820" s="83"/>
      <c r="F1820" s="83"/>
      <c r="G1820" s="31"/>
      <c r="H1820" s="31"/>
    </row>
    <row r="1821" spans="1:8">
      <c r="A1821" s="31"/>
      <c r="B1821" s="105"/>
      <c r="C1821" s="112"/>
      <c r="D1821" s="83"/>
      <c r="E1821" s="83"/>
      <c r="F1821" s="83"/>
      <c r="G1821" s="31"/>
      <c r="H1821" s="31"/>
    </row>
    <row r="1822" spans="1:8">
      <c r="A1822" s="31"/>
      <c r="B1822" s="105"/>
      <c r="C1822" s="112"/>
      <c r="D1822" s="83"/>
      <c r="E1822" s="83"/>
      <c r="F1822" s="83"/>
      <c r="G1822" s="31"/>
      <c r="H1822" s="31"/>
    </row>
    <row r="1823" spans="1:8">
      <c r="A1823" s="31"/>
      <c r="B1823" s="105"/>
      <c r="C1823" s="112"/>
      <c r="D1823" s="83"/>
      <c r="E1823" s="83"/>
      <c r="F1823" s="83"/>
      <c r="G1823" s="31"/>
      <c r="H1823" s="31"/>
    </row>
    <row r="1824" spans="1:8">
      <c r="A1824" s="31"/>
      <c r="B1824" s="105"/>
      <c r="C1824" s="112"/>
      <c r="D1824" s="83"/>
      <c r="E1824" s="83"/>
      <c r="F1824" s="83"/>
      <c r="G1824" s="31"/>
      <c r="H1824" s="31"/>
    </row>
    <row r="1825" spans="1:8">
      <c r="A1825" s="31"/>
      <c r="B1825" s="105"/>
      <c r="C1825" s="112"/>
      <c r="D1825" s="83"/>
      <c r="E1825" s="83"/>
      <c r="F1825" s="83"/>
      <c r="G1825" s="31"/>
      <c r="H1825" s="31"/>
    </row>
    <row r="1826" spans="1:8">
      <c r="A1826" s="31"/>
      <c r="B1826" s="105"/>
      <c r="C1826" s="112"/>
      <c r="D1826" s="83"/>
      <c r="E1826" s="83"/>
      <c r="F1826" s="83"/>
      <c r="G1826" s="31"/>
      <c r="H1826" s="31"/>
    </row>
    <row r="1827" spans="1:8">
      <c r="A1827" s="31"/>
      <c r="B1827" s="105"/>
      <c r="C1827" s="112"/>
      <c r="D1827" s="83"/>
      <c r="E1827" s="83"/>
      <c r="F1827" s="83"/>
      <c r="G1827" s="31"/>
      <c r="H1827" s="31"/>
    </row>
    <row r="1828" spans="1:8">
      <c r="A1828" s="31"/>
      <c r="B1828" s="105"/>
      <c r="C1828" s="112"/>
      <c r="D1828" s="83"/>
      <c r="E1828" s="83"/>
      <c r="F1828" s="83"/>
      <c r="G1828" s="31"/>
      <c r="H1828" s="31"/>
    </row>
    <row r="1829" spans="1:8">
      <c r="A1829" s="31"/>
      <c r="B1829" s="105"/>
      <c r="C1829" s="112"/>
      <c r="D1829" s="83"/>
      <c r="E1829" s="83"/>
      <c r="F1829" s="83"/>
      <c r="G1829" s="31"/>
      <c r="H1829" s="31"/>
    </row>
    <row r="1830" spans="1:8">
      <c r="A1830" s="31"/>
      <c r="B1830" s="105"/>
      <c r="C1830" s="112"/>
      <c r="D1830" s="83"/>
      <c r="E1830" s="83"/>
      <c r="F1830" s="83"/>
      <c r="G1830" s="31"/>
      <c r="H1830" s="31"/>
    </row>
    <row r="1831" spans="1:8">
      <c r="A1831" s="31"/>
      <c r="B1831" s="105"/>
      <c r="C1831" s="112"/>
      <c r="D1831" s="83"/>
      <c r="E1831" s="83"/>
      <c r="F1831" s="83"/>
      <c r="G1831" s="31"/>
      <c r="H1831" s="31"/>
    </row>
    <row r="1832" spans="1:8">
      <c r="A1832" s="31"/>
      <c r="B1832" s="105"/>
      <c r="C1832" s="112"/>
      <c r="D1832" s="83"/>
      <c r="E1832" s="83"/>
      <c r="F1832" s="83"/>
      <c r="G1832" s="31"/>
      <c r="H1832" s="31"/>
    </row>
    <row r="1833" spans="1:8">
      <c r="A1833" s="31"/>
      <c r="B1833" s="105"/>
      <c r="C1833" s="112"/>
      <c r="D1833" s="83"/>
      <c r="E1833" s="83"/>
      <c r="F1833" s="83"/>
      <c r="G1833" s="31"/>
      <c r="H1833" s="31"/>
    </row>
    <row r="1834" spans="1:8">
      <c r="A1834" s="31"/>
      <c r="B1834" s="105"/>
      <c r="C1834" s="112"/>
      <c r="D1834" s="83"/>
      <c r="E1834" s="83"/>
      <c r="F1834" s="83"/>
      <c r="G1834" s="31"/>
      <c r="H1834" s="31"/>
    </row>
    <row r="1835" spans="1:8">
      <c r="A1835" s="31"/>
      <c r="B1835" s="105"/>
      <c r="C1835" s="112"/>
      <c r="D1835" s="83"/>
      <c r="E1835" s="83"/>
      <c r="F1835" s="83"/>
      <c r="G1835" s="31"/>
      <c r="H1835" s="31"/>
    </row>
    <row r="1836" spans="1:8">
      <c r="A1836" s="31"/>
      <c r="B1836" s="105"/>
      <c r="C1836" s="112"/>
      <c r="D1836" s="83"/>
      <c r="E1836" s="83"/>
      <c r="F1836" s="83"/>
      <c r="G1836" s="31"/>
      <c r="H1836" s="31"/>
    </row>
    <row r="1837" spans="1:8">
      <c r="A1837" s="31"/>
      <c r="B1837" s="105"/>
      <c r="C1837" s="112"/>
      <c r="D1837" s="83"/>
      <c r="E1837" s="83"/>
      <c r="F1837" s="83"/>
      <c r="G1837" s="31"/>
      <c r="H1837" s="31"/>
    </row>
    <row r="1838" spans="1:8">
      <c r="A1838" s="31"/>
      <c r="B1838" s="105"/>
      <c r="C1838" s="112"/>
      <c r="D1838" s="83"/>
      <c r="E1838" s="83"/>
      <c r="F1838" s="83"/>
      <c r="G1838" s="31"/>
      <c r="H1838" s="31"/>
    </row>
    <row r="1839" spans="1:8">
      <c r="A1839" s="31"/>
      <c r="B1839" s="105"/>
      <c r="C1839" s="112"/>
      <c r="D1839" s="83"/>
      <c r="E1839" s="83"/>
      <c r="F1839" s="83"/>
      <c r="G1839" s="31"/>
      <c r="H1839" s="31"/>
    </row>
    <row r="1840" spans="1:8">
      <c r="A1840" s="31"/>
      <c r="B1840" s="105"/>
      <c r="C1840" s="112"/>
      <c r="D1840" s="83"/>
      <c r="E1840" s="83"/>
      <c r="F1840" s="83"/>
      <c r="G1840" s="31"/>
      <c r="H1840" s="31"/>
    </row>
    <row r="1841" spans="1:8">
      <c r="A1841" s="31"/>
      <c r="B1841" s="105"/>
      <c r="C1841" s="112"/>
      <c r="D1841" s="83"/>
      <c r="E1841" s="83"/>
      <c r="F1841" s="83"/>
      <c r="G1841" s="31"/>
      <c r="H1841" s="31"/>
    </row>
    <row r="1842" spans="1:8">
      <c r="A1842" s="31"/>
      <c r="B1842" s="105"/>
      <c r="C1842" s="112"/>
      <c r="D1842" s="83"/>
      <c r="E1842" s="83"/>
      <c r="F1842" s="83"/>
      <c r="G1842" s="31"/>
      <c r="H1842" s="31"/>
    </row>
    <row r="1843" spans="1:8">
      <c r="A1843" s="31"/>
      <c r="B1843" s="105"/>
      <c r="C1843" s="112"/>
      <c r="D1843" s="83"/>
      <c r="E1843" s="83"/>
      <c r="F1843" s="83"/>
      <c r="G1843" s="31"/>
      <c r="H1843" s="31"/>
    </row>
    <row r="1844" spans="1:8">
      <c r="A1844" s="31"/>
      <c r="B1844" s="105"/>
      <c r="C1844" s="112"/>
      <c r="D1844" s="83"/>
      <c r="E1844" s="83"/>
      <c r="F1844" s="83"/>
      <c r="G1844" s="31"/>
      <c r="H1844" s="31"/>
    </row>
    <row r="1845" spans="1:8">
      <c r="A1845" s="31"/>
      <c r="B1845" s="105"/>
      <c r="C1845" s="112"/>
      <c r="D1845" s="83"/>
      <c r="E1845" s="83"/>
      <c r="F1845" s="83"/>
      <c r="G1845" s="31"/>
      <c r="H1845" s="31"/>
    </row>
    <row r="1846" spans="1:8">
      <c r="A1846" s="31"/>
      <c r="B1846" s="105"/>
      <c r="C1846" s="112"/>
      <c r="D1846" s="83"/>
      <c r="E1846" s="83"/>
      <c r="F1846" s="83"/>
      <c r="G1846" s="31"/>
      <c r="H1846" s="31"/>
    </row>
    <row r="1847" spans="1:8">
      <c r="A1847" s="31"/>
      <c r="B1847" s="105"/>
      <c r="C1847" s="112"/>
      <c r="D1847" s="83"/>
      <c r="E1847" s="83"/>
      <c r="F1847" s="83"/>
      <c r="G1847" s="31"/>
      <c r="H1847" s="31"/>
    </row>
    <row r="1848" spans="1:8">
      <c r="A1848" s="31"/>
      <c r="B1848" s="105"/>
      <c r="C1848" s="112"/>
      <c r="D1848" s="83"/>
      <c r="E1848" s="83"/>
      <c r="F1848" s="83"/>
      <c r="G1848" s="31"/>
      <c r="H1848" s="31"/>
    </row>
    <row r="1849" spans="1:8">
      <c r="A1849" s="31"/>
      <c r="B1849" s="105"/>
      <c r="C1849" s="112"/>
      <c r="D1849" s="83"/>
      <c r="E1849" s="83"/>
      <c r="F1849" s="83"/>
      <c r="G1849" s="31"/>
      <c r="H1849" s="31"/>
    </row>
    <row r="1850" spans="1:8">
      <c r="A1850" s="31"/>
      <c r="B1850" s="105"/>
      <c r="C1850" s="112"/>
      <c r="D1850" s="83"/>
      <c r="E1850" s="83"/>
      <c r="F1850" s="83"/>
      <c r="G1850" s="31"/>
      <c r="H1850" s="31"/>
    </row>
    <row r="1851" spans="1:8">
      <c r="A1851" s="31"/>
      <c r="B1851" s="105"/>
      <c r="C1851" s="112"/>
      <c r="D1851" s="83"/>
      <c r="E1851" s="83"/>
      <c r="F1851" s="83"/>
      <c r="G1851" s="31"/>
      <c r="H1851" s="31"/>
    </row>
    <row r="1852" spans="1:8">
      <c r="A1852" s="31"/>
      <c r="B1852" s="105"/>
      <c r="C1852" s="112"/>
      <c r="D1852" s="83"/>
      <c r="E1852" s="83"/>
      <c r="F1852" s="83"/>
      <c r="G1852" s="31"/>
      <c r="H1852" s="31"/>
    </row>
    <row r="1853" spans="1:8">
      <c r="A1853" s="31"/>
      <c r="B1853" s="105"/>
      <c r="C1853" s="112"/>
      <c r="D1853" s="83"/>
      <c r="E1853" s="83"/>
      <c r="F1853" s="83"/>
      <c r="G1853" s="31"/>
      <c r="H1853" s="31"/>
    </row>
    <row r="1854" spans="1:8">
      <c r="A1854" s="31"/>
      <c r="B1854" s="105"/>
      <c r="C1854" s="112"/>
      <c r="D1854" s="83"/>
      <c r="E1854" s="83"/>
      <c r="F1854" s="83"/>
      <c r="G1854" s="31"/>
      <c r="H1854" s="31"/>
    </row>
    <row r="1855" spans="1:8">
      <c r="A1855" s="31"/>
      <c r="B1855" s="105"/>
      <c r="C1855" s="112"/>
      <c r="D1855" s="83"/>
      <c r="E1855" s="83"/>
      <c r="F1855" s="83"/>
      <c r="G1855" s="31"/>
      <c r="H1855" s="31"/>
    </row>
    <row r="1856" spans="1:8">
      <c r="A1856" s="31"/>
      <c r="B1856" s="105"/>
      <c r="C1856" s="112"/>
      <c r="D1856" s="83"/>
      <c r="E1856" s="83"/>
      <c r="F1856" s="83"/>
      <c r="G1856" s="31"/>
      <c r="H1856" s="31"/>
    </row>
    <row r="1857" spans="1:8">
      <c r="A1857" s="31"/>
      <c r="B1857" s="105"/>
      <c r="C1857" s="112"/>
      <c r="D1857" s="83"/>
      <c r="E1857" s="83"/>
      <c r="F1857" s="83"/>
      <c r="G1857" s="31"/>
      <c r="H1857" s="31"/>
    </row>
    <row r="1858" spans="1:8">
      <c r="A1858" s="31"/>
      <c r="B1858" s="105"/>
      <c r="C1858" s="112"/>
      <c r="D1858" s="83"/>
      <c r="E1858" s="83"/>
      <c r="F1858" s="83"/>
      <c r="G1858" s="31"/>
      <c r="H1858" s="31"/>
    </row>
    <row r="1859" spans="1:8">
      <c r="A1859" s="31"/>
      <c r="B1859" s="105"/>
      <c r="C1859" s="112"/>
      <c r="D1859" s="83"/>
      <c r="E1859" s="83"/>
      <c r="F1859" s="83"/>
      <c r="G1859" s="31"/>
      <c r="H1859" s="31"/>
    </row>
    <row r="1860" spans="1:8">
      <c r="A1860" s="31"/>
      <c r="B1860" s="105"/>
      <c r="C1860" s="112"/>
      <c r="D1860" s="83"/>
      <c r="E1860" s="83"/>
      <c r="F1860" s="83"/>
      <c r="G1860" s="31"/>
      <c r="H1860" s="31"/>
    </row>
    <row r="1861" spans="1:8">
      <c r="A1861" s="31"/>
      <c r="B1861" s="105"/>
      <c r="C1861" s="112"/>
      <c r="D1861" s="83"/>
      <c r="E1861" s="83"/>
      <c r="F1861" s="83"/>
      <c r="G1861" s="31"/>
      <c r="H1861" s="31"/>
    </row>
    <row r="1862" spans="1:8">
      <c r="A1862" s="31"/>
      <c r="B1862" s="105"/>
      <c r="C1862" s="112"/>
      <c r="D1862" s="83"/>
      <c r="E1862" s="83"/>
      <c r="F1862" s="83"/>
      <c r="G1862" s="31"/>
      <c r="H1862" s="31"/>
    </row>
    <row r="1863" spans="1:8">
      <c r="A1863" s="31"/>
      <c r="B1863" s="105"/>
      <c r="C1863" s="112"/>
      <c r="D1863" s="83"/>
      <c r="E1863" s="83"/>
      <c r="F1863" s="83"/>
      <c r="G1863" s="31"/>
      <c r="H1863" s="31"/>
    </row>
    <row r="1864" spans="1:8">
      <c r="A1864" s="31"/>
      <c r="B1864" s="105"/>
      <c r="C1864" s="112"/>
      <c r="D1864" s="83"/>
      <c r="E1864" s="83"/>
      <c r="F1864" s="83"/>
      <c r="G1864" s="31"/>
      <c r="H1864" s="31"/>
    </row>
    <row r="1865" spans="1:8">
      <c r="A1865" s="31"/>
      <c r="B1865" s="105"/>
      <c r="C1865" s="112"/>
      <c r="D1865" s="83"/>
      <c r="E1865" s="83"/>
      <c r="F1865" s="83"/>
      <c r="G1865" s="31"/>
      <c r="H1865" s="31"/>
    </row>
    <row r="1866" spans="1:8">
      <c r="A1866" s="31"/>
      <c r="B1866" s="105"/>
      <c r="C1866" s="112"/>
      <c r="D1866" s="83"/>
      <c r="E1866" s="83"/>
      <c r="F1866" s="83"/>
      <c r="G1866" s="31"/>
      <c r="H1866" s="31"/>
    </row>
    <row r="1867" spans="1:8">
      <c r="A1867" s="31"/>
      <c r="B1867" s="105"/>
      <c r="C1867" s="112"/>
      <c r="D1867" s="83"/>
      <c r="E1867" s="83"/>
      <c r="F1867" s="83"/>
      <c r="G1867" s="31"/>
      <c r="H1867" s="31"/>
    </row>
    <row r="1868" spans="1:8">
      <c r="A1868" s="31"/>
      <c r="B1868" s="105"/>
      <c r="C1868" s="112"/>
      <c r="D1868" s="83"/>
      <c r="E1868" s="83"/>
      <c r="F1868" s="83"/>
      <c r="G1868" s="31"/>
      <c r="H1868" s="31"/>
    </row>
    <row r="1869" spans="1:8">
      <c r="A1869" s="31"/>
      <c r="B1869" s="105"/>
      <c r="C1869" s="112"/>
      <c r="D1869" s="83"/>
      <c r="E1869" s="83"/>
      <c r="F1869" s="83"/>
      <c r="G1869" s="31"/>
      <c r="H1869" s="31"/>
    </row>
    <row r="1870" spans="1:8">
      <c r="A1870" s="31"/>
      <c r="B1870" s="105"/>
      <c r="C1870" s="112"/>
      <c r="D1870" s="83"/>
      <c r="E1870" s="83"/>
      <c r="F1870" s="83"/>
      <c r="G1870" s="31"/>
      <c r="H1870" s="31"/>
    </row>
    <row r="1871" spans="1:8">
      <c r="A1871" s="31"/>
      <c r="B1871" s="105"/>
      <c r="C1871" s="112"/>
      <c r="D1871" s="83"/>
      <c r="E1871" s="83"/>
      <c r="F1871" s="83"/>
      <c r="G1871" s="31"/>
      <c r="H1871" s="31"/>
    </row>
    <row r="1872" spans="1:8">
      <c r="A1872" s="31"/>
      <c r="B1872" s="105"/>
      <c r="C1872" s="112"/>
      <c r="D1872" s="83"/>
      <c r="E1872" s="83"/>
      <c r="F1872" s="83"/>
      <c r="G1872" s="31"/>
      <c r="H1872" s="31"/>
    </row>
    <row r="1873" spans="1:8">
      <c r="A1873" s="31"/>
      <c r="B1873" s="105"/>
      <c r="C1873" s="112"/>
      <c r="D1873" s="83"/>
      <c r="E1873" s="83"/>
      <c r="F1873" s="83"/>
      <c r="G1873" s="31"/>
      <c r="H1873" s="31"/>
    </row>
    <row r="1874" spans="1:8">
      <c r="A1874" s="31"/>
      <c r="B1874" s="105"/>
      <c r="C1874" s="112"/>
      <c r="D1874" s="83"/>
      <c r="E1874" s="83"/>
      <c r="F1874" s="83"/>
      <c r="G1874" s="31"/>
      <c r="H1874" s="31"/>
    </row>
    <row r="1875" spans="1:8">
      <c r="A1875" s="31"/>
      <c r="B1875" s="105"/>
      <c r="C1875" s="112"/>
      <c r="D1875" s="83"/>
      <c r="E1875" s="83"/>
      <c r="F1875" s="83"/>
      <c r="G1875" s="31"/>
      <c r="H1875" s="31"/>
    </row>
    <row r="1876" spans="1:8">
      <c r="A1876" s="31"/>
      <c r="B1876" s="105"/>
      <c r="C1876" s="112"/>
      <c r="D1876" s="83"/>
      <c r="E1876" s="83"/>
      <c r="F1876" s="83"/>
      <c r="G1876" s="31"/>
      <c r="H1876" s="31"/>
    </row>
    <row r="1877" spans="1:8">
      <c r="A1877" s="31"/>
      <c r="B1877" s="105"/>
      <c r="C1877" s="112"/>
      <c r="D1877" s="83"/>
      <c r="E1877" s="83"/>
      <c r="F1877" s="83"/>
      <c r="G1877" s="31"/>
      <c r="H1877" s="31"/>
    </row>
    <row r="1878" spans="1:8">
      <c r="A1878" s="31"/>
      <c r="B1878" s="105"/>
      <c r="C1878" s="112"/>
      <c r="D1878" s="83"/>
      <c r="E1878" s="83"/>
      <c r="F1878" s="83"/>
      <c r="G1878" s="31"/>
      <c r="H1878" s="31"/>
    </row>
    <row r="1879" spans="1:8">
      <c r="A1879" s="31"/>
      <c r="B1879" s="105"/>
      <c r="C1879" s="112"/>
      <c r="D1879" s="83"/>
      <c r="E1879" s="83"/>
      <c r="F1879" s="83"/>
      <c r="G1879" s="31"/>
      <c r="H1879" s="31"/>
    </row>
    <row r="1880" spans="1:8">
      <c r="A1880" s="31"/>
      <c r="B1880" s="105"/>
      <c r="C1880" s="112"/>
      <c r="D1880" s="83"/>
      <c r="E1880" s="83"/>
      <c r="F1880" s="83"/>
      <c r="G1880" s="31"/>
      <c r="H1880" s="31"/>
    </row>
    <row r="1881" spans="1:8">
      <c r="A1881" s="31"/>
      <c r="B1881" s="105"/>
      <c r="C1881" s="112"/>
      <c r="D1881" s="83"/>
      <c r="E1881" s="83"/>
      <c r="F1881" s="83"/>
      <c r="G1881" s="31"/>
      <c r="H1881" s="31"/>
    </row>
    <row r="1882" spans="1:8">
      <c r="A1882" s="31"/>
      <c r="B1882" s="105"/>
      <c r="C1882" s="112"/>
      <c r="D1882" s="83"/>
      <c r="E1882" s="83"/>
      <c r="F1882" s="83"/>
      <c r="G1882" s="31"/>
      <c r="H1882" s="31"/>
    </row>
    <row r="1883" spans="1:8">
      <c r="A1883" s="31"/>
      <c r="B1883" s="105"/>
      <c r="C1883" s="112"/>
      <c r="D1883" s="83"/>
      <c r="E1883" s="83"/>
      <c r="F1883" s="83"/>
      <c r="G1883" s="31"/>
      <c r="H1883" s="31"/>
    </row>
    <row r="1884" spans="1:8">
      <c r="A1884" s="31"/>
      <c r="B1884" s="105"/>
      <c r="C1884" s="112"/>
      <c r="D1884" s="83"/>
      <c r="E1884" s="83"/>
      <c r="F1884" s="83"/>
      <c r="G1884" s="31"/>
      <c r="H1884" s="31"/>
    </row>
    <row r="1885" spans="1:8">
      <c r="A1885" s="31"/>
      <c r="B1885" s="105"/>
      <c r="C1885" s="112"/>
      <c r="D1885" s="83"/>
      <c r="E1885" s="83"/>
      <c r="F1885" s="83"/>
      <c r="G1885" s="31"/>
      <c r="H1885" s="31"/>
    </row>
    <row r="1886" spans="1:8">
      <c r="A1886" s="31"/>
      <c r="B1886" s="105"/>
      <c r="C1886" s="112"/>
      <c r="D1886" s="83"/>
      <c r="E1886" s="83"/>
      <c r="F1886" s="83"/>
      <c r="G1886" s="31"/>
      <c r="H1886" s="31"/>
    </row>
    <row r="1887" spans="1:8">
      <c r="A1887" s="31"/>
      <c r="B1887" s="105"/>
      <c r="C1887" s="112"/>
      <c r="D1887" s="83"/>
      <c r="E1887" s="83"/>
      <c r="F1887" s="83"/>
      <c r="G1887" s="31"/>
      <c r="H1887" s="31"/>
    </row>
    <row r="1888" spans="1:8">
      <c r="A1888" s="31"/>
      <c r="B1888" s="105"/>
      <c r="C1888" s="112"/>
      <c r="D1888" s="83"/>
      <c r="E1888" s="83"/>
      <c r="F1888" s="83"/>
      <c r="G1888" s="31"/>
      <c r="H1888" s="31"/>
    </row>
    <row r="1889" spans="1:8">
      <c r="A1889" s="31"/>
      <c r="B1889" s="105"/>
      <c r="C1889" s="112"/>
      <c r="D1889" s="83"/>
      <c r="E1889" s="83"/>
      <c r="F1889" s="83"/>
      <c r="G1889" s="31"/>
      <c r="H1889" s="31"/>
    </row>
    <row r="1890" spans="1:8">
      <c r="A1890" s="31"/>
      <c r="B1890" s="105"/>
      <c r="C1890" s="112"/>
      <c r="D1890" s="83"/>
      <c r="E1890" s="83"/>
      <c r="F1890" s="83"/>
      <c r="G1890" s="31"/>
      <c r="H1890" s="31"/>
    </row>
    <row r="1891" spans="1:8">
      <c r="A1891" s="31"/>
      <c r="B1891" s="105"/>
      <c r="C1891" s="112"/>
      <c r="D1891" s="83"/>
      <c r="E1891" s="83"/>
      <c r="F1891" s="83"/>
      <c r="G1891" s="31"/>
      <c r="H1891" s="31"/>
    </row>
    <row r="1892" spans="1:8">
      <c r="A1892" s="31"/>
      <c r="B1892" s="105"/>
      <c r="C1892" s="112"/>
      <c r="D1892" s="83"/>
      <c r="E1892" s="83"/>
      <c r="F1892" s="83"/>
      <c r="G1892" s="31"/>
      <c r="H1892" s="31"/>
    </row>
    <row r="1893" spans="1:8">
      <c r="A1893" s="31"/>
      <c r="B1893" s="105"/>
      <c r="C1893" s="112"/>
      <c r="D1893" s="83"/>
      <c r="E1893" s="83"/>
      <c r="F1893" s="83"/>
      <c r="G1893" s="31"/>
      <c r="H1893" s="31"/>
    </row>
    <row r="1894" spans="1:8">
      <c r="A1894" s="31"/>
      <c r="B1894" s="105"/>
      <c r="C1894" s="112"/>
      <c r="D1894" s="83"/>
      <c r="E1894" s="83"/>
      <c r="F1894" s="83"/>
      <c r="G1894" s="31"/>
      <c r="H1894" s="31"/>
    </row>
    <row r="1895" spans="1:8">
      <c r="A1895" s="31"/>
      <c r="B1895" s="105"/>
      <c r="C1895" s="112"/>
      <c r="D1895" s="83"/>
      <c r="E1895" s="83"/>
      <c r="F1895" s="83"/>
      <c r="G1895" s="31"/>
      <c r="H1895" s="31"/>
    </row>
    <row r="1896" spans="1:8">
      <c r="A1896" s="31"/>
      <c r="B1896" s="105"/>
      <c r="C1896" s="112"/>
      <c r="D1896" s="83"/>
      <c r="E1896" s="83"/>
      <c r="F1896" s="83"/>
      <c r="G1896" s="31"/>
      <c r="H1896" s="31"/>
    </row>
    <row r="1897" spans="1:8">
      <c r="A1897" s="31"/>
      <c r="B1897" s="105"/>
      <c r="C1897" s="112"/>
      <c r="D1897" s="83"/>
      <c r="E1897" s="83"/>
      <c r="F1897" s="83"/>
      <c r="G1897" s="31"/>
      <c r="H1897" s="31"/>
    </row>
    <row r="1898" spans="1:8">
      <c r="A1898" s="31"/>
      <c r="B1898" s="105"/>
      <c r="C1898" s="112"/>
      <c r="D1898" s="83"/>
      <c r="E1898" s="83"/>
      <c r="F1898" s="83"/>
      <c r="G1898" s="31"/>
      <c r="H1898" s="31"/>
    </row>
    <row r="1899" spans="1:8">
      <c r="A1899" s="31"/>
      <c r="B1899" s="105"/>
      <c r="C1899" s="112"/>
      <c r="D1899" s="83"/>
      <c r="E1899" s="83"/>
      <c r="F1899" s="83"/>
      <c r="G1899" s="31"/>
      <c r="H1899" s="31"/>
    </row>
    <row r="1900" spans="1:8">
      <c r="A1900" s="31"/>
      <c r="B1900" s="105"/>
      <c r="C1900" s="112"/>
      <c r="D1900" s="83"/>
      <c r="E1900" s="83"/>
      <c r="F1900" s="83"/>
      <c r="G1900" s="31"/>
      <c r="H1900" s="31"/>
    </row>
    <row r="1901" spans="1:8">
      <c r="A1901" s="31"/>
      <c r="B1901" s="105"/>
      <c r="C1901" s="112"/>
      <c r="D1901" s="83"/>
      <c r="E1901" s="83"/>
      <c r="F1901" s="83"/>
      <c r="G1901" s="31"/>
      <c r="H1901" s="31"/>
    </row>
    <row r="1902" spans="1:8">
      <c r="A1902" s="31"/>
      <c r="B1902" s="105"/>
      <c r="C1902" s="112"/>
      <c r="D1902" s="83"/>
      <c r="E1902" s="83"/>
      <c r="F1902" s="83"/>
      <c r="G1902" s="31"/>
      <c r="H1902" s="31"/>
    </row>
    <row r="1903" spans="1:8">
      <c r="A1903" s="31"/>
      <c r="B1903" s="105"/>
      <c r="C1903" s="112"/>
      <c r="D1903" s="83"/>
      <c r="E1903" s="83"/>
      <c r="F1903" s="83"/>
      <c r="G1903" s="31"/>
      <c r="H1903" s="31"/>
    </row>
    <row r="1904" spans="1:8">
      <c r="A1904" s="31"/>
      <c r="B1904" s="105"/>
      <c r="C1904" s="112"/>
      <c r="D1904" s="83"/>
      <c r="E1904" s="83"/>
      <c r="F1904" s="83"/>
      <c r="G1904" s="31"/>
      <c r="H1904" s="31"/>
    </row>
    <row r="1905" spans="1:8">
      <c r="A1905" s="31"/>
      <c r="B1905" s="105"/>
      <c r="C1905" s="112"/>
      <c r="D1905" s="83"/>
      <c r="E1905" s="83"/>
      <c r="F1905" s="83"/>
      <c r="G1905" s="31"/>
      <c r="H1905" s="31"/>
    </row>
    <row r="1906" spans="1:8">
      <c r="A1906" s="31"/>
      <c r="B1906" s="105"/>
      <c r="C1906" s="112"/>
      <c r="D1906" s="83"/>
      <c r="E1906" s="83"/>
      <c r="F1906" s="83"/>
      <c r="G1906" s="31"/>
      <c r="H1906" s="31"/>
    </row>
    <row r="1907" spans="1:8">
      <c r="A1907" s="31"/>
      <c r="B1907" s="105"/>
      <c r="C1907" s="112"/>
      <c r="D1907" s="83"/>
      <c r="E1907" s="83"/>
      <c r="F1907" s="83"/>
      <c r="G1907" s="31"/>
      <c r="H1907" s="31"/>
    </row>
    <row r="1908" spans="1:8">
      <c r="A1908" s="31"/>
      <c r="B1908" s="105"/>
      <c r="C1908" s="112"/>
      <c r="D1908" s="83"/>
      <c r="E1908" s="83"/>
      <c r="F1908" s="83"/>
      <c r="G1908" s="31"/>
      <c r="H1908" s="31"/>
    </row>
    <row r="1909" spans="1:8">
      <c r="A1909" s="31"/>
      <c r="B1909" s="105"/>
      <c r="C1909" s="112"/>
      <c r="D1909" s="83"/>
      <c r="E1909" s="83"/>
      <c r="F1909" s="83"/>
      <c r="G1909" s="31"/>
      <c r="H1909" s="31"/>
    </row>
    <row r="1910" spans="1:8">
      <c r="A1910" s="31"/>
      <c r="B1910" s="105"/>
      <c r="C1910" s="112"/>
      <c r="D1910" s="83"/>
      <c r="E1910" s="83"/>
      <c r="F1910" s="83"/>
      <c r="G1910" s="31"/>
      <c r="H1910" s="31"/>
    </row>
    <row r="1911" spans="1:8">
      <c r="A1911" s="31"/>
      <c r="B1911" s="105"/>
      <c r="C1911" s="112"/>
      <c r="D1911" s="83"/>
      <c r="E1911" s="83"/>
      <c r="F1911" s="83"/>
      <c r="G1911" s="31"/>
      <c r="H1911" s="31"/>
    </row>
    <row r="1912" spans="1:8">
      <c r="A1912" s="31"/>
      <c r="B1912" s="105"/>
      <c r="C1912" s="112"/>
      <c r="D1912" s="83"/>
      <c r="E1912" s="83"/>
      <c r="F1912" s="83"/>
      <c r="G1912" s="31"/>
      <c r="H1912" s="31"/>
    </row>
    <row r="1913" spans="1:8">
      <c r="A1913" s="31"/>
      <c r="B1913" s="105"/>
      <c r="C1913" s="112"/>
      <c r="D1913" s="83"/>
      <c r="E1913" s="83"/>
      <c r="F1913" s="83"/>
      <c r="G1913" s="31"/>
      <c r="H1913" s="31"/>
    </row>
    <row r="1914" spans="1:8">
      <c r="A1914" s="31"/>
      <c r="B1914" s="105"/>
      <c r="C1914" s="112"/>
      <c r="D1914" s="83"/>
      <c r="E1914" s="83"/>
      <c r="F1914" s="83"/>
      <c r="G1914" s="31"/>
      <c r="H1914" s="31"/>
    </row>
    <row r="1915" spans="1:8">
      <c r="A1915" s="31"/>
      <c r="B1915" s="105"/>
      <c r="C1915" s="112"/>
      <c r="D1915" s="83"/>
      <c r="E1915" s="83"/>
      <c r="F1915" s="83"/>
      <c r="G1915" s="31"/>
      <c r="H1915" s="31"/>
    </row>
    <row r="1916" spans="1:8">
      <c r="A1916" s="31"/>
      <c r="B1916" s="105"/>
      <c r="C1916" s="112"/>
      <c r="D1916" s="83"/>
      <c r="E1916" s="83"/>
      <c r="F1916" s="83"/>
      <c r="G1916" s="31"/>
      <c r="H1916" s="31"/>
    </row>
    <row r="1917" spans="1:8">
      <c r="A1917" s="31"/>
      <c r="B1917" s="105"/>
      <c r="C1917" s="112"/>
      <c r="D1917" s="83"/>
      <c r="E1917" s="83"/>
      <c r="F1917" s="83"/>
      <c r="G1917" s="31"/>
      <c r="H1917" s="31"/>
    </row>
    <row r="1918" spans="1:8">
      <c r="A1918" s="31"/>
      <c r="B1918" s="105"/>
      <c r="C1918" s="112"/>
      <c r="D1918" s="83"/>
      <c r="E1918" s="83"/>
      <c r="F1918" s="83"/>
      <c r="G1918" s="31"/>
      <c r="H1918" s="31"/>
    </row>
    <row r="1919" spans="1:8">
      <c r="A1919" s="31"/>
      <c r="B1919" s="105"/>
      <c r="C1919" s="112"/>
      <c r="D1919" s="83"/>
      <c r="E1919" s="83"/>
      <c r="F1919" s="83"/>
      <c r="G1919" s="31"/>
      <c r="H1919" s="31"/>
    </row>
    <row r="1920" spans="1:8">
      <c r="A1920" s="31"/>
      <c r="B1920" s="105"/>
      <c r="C1920" s="112"/>
      <c r="D1920" s="83"/>
      <c r="E1920" s="83"/>
      <c r="F1920" s="83"/>
      <c r="G1920" s="31"/>
      <c r="H1920" s="31"/>
    </row>
    <row r="1921" spans="1:8">
      <c r="A1921" s="31"/>
      <c r="B1921" s="105"/>
      <c r="C1921" s="112"/>
      <c r="D1921" s="83"/>
      <c r="E1921" s="83"/>
      <c r="F1921" s="83"/>
      <c r="G1921" s="31"/>
      <c r="H1921" s="31"/>
    </row>
    <row r="1922" spans="1:8">
      <c r="A1922" s="31"/>
      <c r="B1922" s="105"/>
      <c r="C1922" s="112"/>
      <c r="D1922" s="83"/>
      <c r="E1922" s="83"/>
      <c r="F1922" s="83"/>
      <c r="G1922" s="31"/>
      <c r="H1922" s="31"/>
    </row>
    <row r="1923" spans="1:8">
      <c r="A1923" s="31"/>
      <c r="B1923" s="105"/>
      <c r="C1923" s="112"/>
      <c r="D1923" s="83"/>
      <c r="E1923" s="83"/>
      <c r="F1923" s="83"/>
      <c r="G1923" s="31"/>
      <c r="H1923" s="31"/>
    </row>
    <row r="1924" spans="1:8">
      <c r="A1924" s="31"/>
      <c r="B1924" s="105"/>
      <c r="C1924" s="112"/>
      <c r="D1924" s="83"/>
      <c r="E1924" s="83"/>
      <c r="F1924" s="83"/>
      <c r="G1924" s="31"/>
      <c r="H1924" s="31"/>
    </row>
    <row r="1925" spans="1:8">
      <c r="A1925" s="31"/>
      <c r="B1925" s="105"/>
      <c r="C1925" s="112"/>
      <c r="D1925" s="83"/>
      <c r="E1925" s="83"/>
      <c r="F1925" s="83"/>
      <c r="G1925" s="31"/>
      <c r="H1925" s="31"/>
    </row>
    <row r="1926" spans="1:8">
      <c r="A1926" s="31"/>
      <c r="B1926" s="105"/>
      <c r="C1926" s="112"/>
      <c r="D1926" s="83"/>
      <c r="E1926" s="83"/>
      <c r="F1926" s="83"/>
      <c r="G1926" s="31"/>
      <c r="H1926" s="31"/>
    </row>
    <row r="1927" spans="1:8">
      <c r="A1927" s="31"/>
      <c r="B1927" s="105"/>
      <c r="C1927" s="112"/>
      <c r="D1927" s="83"/>
      <c r="E1927" s="83"/>
      <c r="F1927" s="83"/>
      <c r="G1927" s="31"/>
      <c r="H1927" s="31"/>
    </row>
    <row r="1928" spans="1:8">
      <c r="A1928" s="31"/>
      <c r="B1928" s="105"/>
      <c r="C1928" s="112"/>
      <c r="D1928" s="83"/>
      <c r="E1928" s="83"/>
      <c r="F1928" s="83"/>
      <c r="G1928" s="31"/>
      <c r="H1928" s="31"/>
    </row>
    <row r="1929" spans="1:8">
      <c r="A1929" s="31"/>
      <c r="B1929" s="105"/>
      <c r="C1929" s="112"/>
      <c r="D1929" s="83"/>
      <c r="E1929" s="83"/>
      <c r="F1929" s="83"/>
      <c r="G1929" s="31"/>
      <c r="H1929" s="31"/>
    </row>
    <row r="1930" spans="1:8">
      <c r="A1930" s="31"/>
      <c r="B1930" s="105"/>
      <c r="C1930" s="112"/>
      <c r="D1930" s="83"/>
      <c r="E1930" s="83"/>
      <c r="F1930" s="83"/>
      <c r="G1930" s="31"/>
      <c r="H1930" s="31"/>
    </row>
    <row r="1931" spans="1:8">
      <c r="A1931" s="31"/>
      <c r="B1931" s="105"/>
      <c r="C1931" s="112"/>
      <c r="D1931" s="83"/>
      <c r="E1931" s="83"/>
      <c r="F1931" s="83"/>
      <c r="G1931" s="31"/>
      <c r="H1931" s="31"/>
    </row>
    <row r="1932" spans="1:8">
      <c r="A1932" s="31"/>
      <c r="B1932" s="105"/>
      <c r="C1932" s="112"/>
      <c r="D1932" s="83"/>
      <c r="E1932" s="83"/>
      <c r="F1932" s="83"/>
      <c r="G1932" s="31"/>
      <c r="H1932" s="31"/>
    </row>
    <row r="1933" spans="1:8">
      <c r="A1933" s="31"/>
      <c r="B1933" s="105"/>
      <c r="C1933" s="112"/>
      <c r="D1933" s="83"/>
      <c r="E1933" s="83"/>
      <c r="F1933" s="83"/>
      <c r="G1933" s="31"/>
      <c r="H1933" s="31"/>
    </row>
    <row r="1934" spans="1:8">
      <c r="A1934" s="31"/>
      <c r="B1934" s="105"/>
      <c r="C1934" s="112"/>
      <c r="D1934" s="83"/>
      <c r="E1934" s="83"/>
      <c r="F1934" s="83"/>
      <c r="G1934" s="31"/>
      <c r="H1934" s="31"/>
    </row>
    <row r="1935" spans="1:8">
      <c r="A1935" s="31"/>
      <c r="B1935" s="105"/>
      <c r="C1935" s="112"/>
      <c r="D1935" s="83"/>
      <c r="E1935" s="83"/>
      <c r="F1935" s="83"/>
      <c r="G1935" s="31"/>
      <c r="H1935" s="31"/>
    </row>
    <row r="1936" spans="1:8">
      <c r="A1936" s="31"/>
      <c r="B1936" s="105"/>
      <c r="C1936" s="112"/>
      <c r="D1936" s="83"/>
      <c r="E1936" s="83"/>
      <c r="F1936" s="83"/>
      <c r="G1936" s="31"/>
      <c r="H1936" s="31"/>
    </row>
    <row r="1937" spans="1:8">
      <c r="A1937" s="31"/>
      <c r="B1937" s="105"/>
      <c r="C1937" s="112"/>
      <c r="D1937" s="83"/>
      <c r="E1937" s="83"/>
      <c r="F1937" s="83"/>
      <c r="G1937" s="31"/>
      <c r="H1937" s="31"/>
    </row>
    <row r="1938" spans="1:8">
      <c r="A1938" s="31"/>
      <c r="B1938" s="105"/>
      <c r="C1938" s="112"/>
      <c r="D1938" s="83"/>
      <c r="E1938" s="83"/>
      <c r="F1938" s="83"/>
      <c r="G1938" s="31"/>
      <c r="H1938" s="31"/>
    </row>
    <row r="1939" spans="1:8">
      <c r="A1939" s="31"/>
      <c r="B1939" s="105"/>
      <c r="C1939" s="112"/>
      <c r="D1939" s="83"/>
      <c r="E1939" s="83"/>
      <c r="F1939" s="83"/>
      <c r="G1939" s="31"/>
      <c r="H1939" s="31"/>
    </row>
    <row r="1940" spans="1:8">
      <c r="A1940" s="31"/>
      <c r="B1940" s="105"/>
      <c r="C1940" s="112"/>
      <c r="D1940" s="83"/>
      <c r="E1940" s="83"/>
      <c r="F1940" s="83"/>
      <c r="G1940" s="31"/>
      <c r="H1940" s="31"/>
    </row>
    <row r="1941" spans="1:8">
      <c r="A1941" s="31"/>
      <c r="B1941" s="105"/>
      <c r="C1941" s="112"/>
      <c r="D1941" s="83"/>
      <c r="E1941" s="83"/>
      <c r="F1941" s="83"/>
      <c r="G1941" s="31"/>
      <c r="H1941" s="31"/>
    </row>
    <row r="1942" spans="1:8">
      <c r="A1942" s="31"/>
      <c r="B1942" s="105"/>
      <c r="C1942" s="112"/>
      <c r="D1942" s="83"/>
      <c r="E1942" s="83"/>
      <c r="F1942" s="83"/>
      <c r="G1942" s="31"/>
      <c r="H1942" s="31"/>
    </row>
    <row r="1943" spans="1:8">
      <c r="A1943" s="31"/>
      <c r="B1943" s="105"/>
      <c r="C1943" s="112"/>
      <c r="D1943" s="83"/>
      <c r="E1943" s="83"/>
      <c r="F1943" s="83"/>
      <c r="G1943" s="31"/>
      <c r="H1943" s="31"/>
    </row>
    <row r="1944" spans="1:8">
      <c r="A1944" s="31"/>
      <c r="B1944" s="105"/>
      <c r="C1944" s="112"/>
      <c r="D1944" s="83"/>
      <c r="E1944" s="83"/>
      <c r="F1944" s="83"/>
      <c r="G1944" s="31"/>
      <c r="H1944" s="31"/>
    </row>
    <row r="1945" spans="1:8">
      <c r="A1945" s="31"/>
      <c r="B1945" s="105"/>
      <c r="C1945" s="112"/>
      <c r="D1945" s="83"/>
      <c r="E1945" s="83"/>
      <c r="F1945" s="83"/>
      <c r="G1945" s="31"/>
      <c r="H1945" s="31"/>
    </row>
    <row r="1946" spans="1:8">
      <c r="A1946" s="31"/>
      <c r="B1946" s="105"/>
      <c r="C1946" s="112"/>
      <c r="D1946" s="83"/>
      <c r="E1946" s="83"/>
      <c r="F1946" s="83"/>
      <c r="G1946" s="31"/>
      <c r="H1946" s="31"/>
    </row>
    <row r="1947" spans="1:8">
      <c r="A1947" s="31"/>
      <c r="B1947" s="105"/>
      <c r="C1947" s="112"/>
      <c r="D1947" s="83"/>
      <c r="E1947" s="83"/>
      <c r="F1947" s="83"/>
      <c r="G1947" s="31"/>
      <c r="H1947" s="31"/>
    </row>
    <row r="1948" spans="1:8">
      <c r="A1948" s="31"/>
      <c r="B1948" s="105"/>
      <c r="C1948" s="112"/>
      <c r="D1948" s="83"/>
      <c r="E1948" s="83"/>
      <c r="F1948" s="83"/>
      <c r="G1948" s="31"/>
      <c r="H1948" s="31"/>
    </row>
    <row r="1949" spans="1:8">
      <c r="A1949" s="31"/>
      <c r="B1949" s="105"/>
      <c r="C1949" s="112"/>
      <c r="D1949" s="83"/>
      <c r="E1949" s="83"/>
      <c r="F1949" s="83"/>
      <c r="G1949" s="31"/>
      <c r="H1949" s="31"/>
    </row>
    <row r="1950" spans="1:8">
      <c r="A1950" s="31"/>
      <c r="B1950" s="105"/>
      <c r="C1950" s="112"/>
      <c r="D1950" s="83"/>
      <c r="E1950" s="83"/>
      <c r="F1950" s="83"/>
      <c r="G1950" s="31"/>
      <c r="H1950" s="31"/>
    </row>
    <row r="1951" spans="1:8">
      <c r="A1951" s="31"/>
      <c r="B1951" s="105"/>
      <c r="C1951" s="112"/>
      <c r="D1951" s="83"/>
      <c r="E1951" s="83"/>
      <c r="F1951" s="83"/>
      <c r="G1951" s="31"/>
      <c r="H1951" s="31"/>
    </row>
    <row r="1952" spans="1:8">
      <c r="A1952" s="31"/>
      <c r="B1952" s="105"/>
      <c r="C1952" s="112"/>
      <c r="D1952" s="83"/>
      <c r="E1952" s="83"/>
      <c r="F1952" s="83"/>
      <c r="G1952" s="31"/>
      <c r="H1952" s="31"/>
    </row>
    <row r="1953" spans="1:8">
      <c r="A1953" s="31"/>
      <c r="B1953" s="105"/>
      <c r="C1953" s="112"/>
      <c r="D1953" s="83"/>
      <c r="E1953" s="83"/>
      <c r="F1953" s="83"/>
      <c r="G1953" s="31"/>
      <c r="H1953" s="31"/>
    </row>
    <row r="1954" spans="1:8">
      <c r="A1954" s="31"/>
      <c r="B1954" s="105"/>
      <c r="C1954" s="112"/>
      <c r="D1954" s="83"/>
      <c r="E1954" s="83"/>
      <c r="F1954" s="83"/>
      <c r="G1954" s="31"/>
      <c r="H1954" s="31"/>
    </row>
    <row r="1955" spans="1:8">
      <c r="A1955" s="31"/>
      <c r="B1955" s="105"/>
      <c r="C1955" s="112"/>
      <c r="D1955" s="83"/>
      <c r="E1955" s="83"/>
      <c r="F1955" s="83"/>
      <c r="G1955" s="31"/>
      <c r="H1955" s="31"/>
    </row>
    <row r="1956" spans="1:8">
      <c r="A1956" s="31"/>
      <c r="B1956" s="105"/>
      <c r="C1956" s="112"/>
      <c r="D1956" s="83"/>
      <c r="E1956" s="83"/>
      <c r="F1956" s="83"/>
      <c r="G1956" s="31"/>
      <c r="H1956" s="31"/>
    </row>
    <row r="1957" spans="1:8">
      <c r="A1957" s="31"/>
      <c r="B1957" s="105"/>
      <c r="C1957" s="112"/>
      <c r="D1957" s="83"/>
      <c r="E1957" s="83"/>
      <c r="F1957" s="83"/>
      <c r="G1957" s="31"/>
      <c r="H1957" s="31"/>
    </row>
    <row r="1958" spans="1:8">
      <c r="A1958" s="31"/>
      <c r="B1958" s="105"/>
      <c r="C1958" s="112"/>
      <c r="D1958" s="83"/>
      <c r="E1958" s="83"/>
      <c r="F1958" s="83"/>
      <c r="G1958" s="31"/>
      <c r="H1958" s="31"/>
    </row>
    <row r="1959" spans="1:8">
      <c r="A1959" s="31"/>
      <c r="B1959" s="105"/>
      <c r="C1959" s="112"/>
      <c r="D1959" s="83"/>
      <c r="E1959" s="83"/>
      <c r="F1959" s="83"/>
      <c r="G1959" s="31"/>
      <c r="H1959" s="31"/>
    </row>
    <row r="1960" spans="1:8">
      <c r="A1960" s="31"/>
      <c r="B1960" s="105"/>
      <c r="C1960" s="112"/>
      <c r="D1960" s="83"/>
      <c r="E1960" s="83"/>
      <c r="F1960" s="83"/>
      <c r="G1960" s="31"/>
      <c r="H1960" s="31"/>
    </row>
    <row r="1961" spans="1:8">
      <c r="A1961" s="31"/>
      <c r="B1961" s="105"/>
      <c r="C1961" s="112"/>
      <c r="D1961" s="83"/>
      <c r="E1961" s="83"/>
      <c r="F1961" s="83"/>
      <c r="G1961" s="31"/>
      <c r="H1961" s="31"/>
    </row>
    <row r="1962" spans="1:8">
      <c r="A1962" s="31"/>
      <c r="B1962" s="105"/>
      <c r="C1962" s="112"/>
      <c r="D1962" s="83"/>
      <c r="E1962" s="83"/>
      <c r="F1962" s="83"/>
      <c r="G1962" s="31"/>
      <c r="H1962" s="31"/>
    </row>
    <row r="1963" spans="1:8">
      <c r="A1963" s="31"/>
      <c r="B1963" s="105"/>
      <c r="C1963" s="112"/>
      <c r="D1963" s="83"/>
      <c r="E1963" s="83"/>
      <c r="F1963" s="83"/>
      <c r="G1963" s="31"/>
      <c r="H1963" s="31"/>
    </row>
    <row r="1964" spans="1:8">
      <c r="A1964" s="31"/>
      <c r="B1964" s="105"/>
      <c r="C1964" s="112"/>
      <c r="D1964" s="83"/>
      <c r="E1964" s="83"/>
      <c r="F1964" s="83"/>
      <c r="G1964" s="31"/>
      <c r="H1964" s="31"/>
    </row>
    <row r="1965" spans="1:8">
      <c r="A1965" s="31"/>
      <c r="B1965" s="105"/>
      <c r="C1965" s="112"/>
      <c r="D1965" s="83"/>
      <c r="E1965" s="83"/>
      <c r="F1965" s="83"/>
      <c r="G1965" s="31"/>
      <c r="H1965" s="31"/>
    </row>
    <row r="1966" spans="1:8">
      <c r="A1966" s="31"/>
      <c r="B1966" s="105"/>
      <c r="C1966" s="112"/>
      <c r="D1966" s="83"/>
      <c r="E1966" s="83"/>
      <c r="F1966" s="83"/>
      <c r="G1966" s="31"/>
      <c r="H1966" s="31"/>
    </row>
    <row r="1967" spans="1:8">
      <c r="A1967" s="31"/>
      <c r="B1967" s="105"/>
      <c r="C1967" s="112"/>
      <c r="D1967" s="83"/>
      <c r="E1967" s="83"/>
      <c r="F1967" s="83"/>
      <c r="G1967" s="31"/>
      <c r="H1967" s="31"/>
    </row>
    <row r="1968" spans="1:8">
      <c r="A1968" s="31"/>
      <c r="B1968" s="105"/>
      <c r="C1968" s="112"/>
      <c r="D1968" s="83"/>
      <c r="E1968" s="83"/>
      <c r="F1968" s="83"/>
      <c r="G1968" s="31"/>
      <c r="H1968" s="31"/>
    </row>
    <row r="1969" spans="1:8">
      <c r="A1969" s="31"/>
      <c r="B1969" s="105"/>
      <c r="C1969" s="112"/>
      <c r="D1969" s="83"/>
      <c r="E1969" s="83"/>
      <c r="F1969" s="83"/>
      <c r="G1969" s="31"/>
      <c r="H1969" s="31"/>
    </row>
    <row r="1970" spans="1:8">
      <c r="A1970" s="31"/>
      <c r="B1970" s="105"/>
      <c r="C1970" s="112"/>
      <c r="D1970" s="83"/>
      <c r="E1970" s="83"/>
      <c r="F1970" s="83"/>
      <c r="G1970" s="31"/>
      <c r="H1970" s="31"/>
    </row>
    <row r="1971" spans="1:8">
      <c r="A1971" s="31"/>
      <c r="B1971" s="105"/>
      <c r="C1971" s="112"/>
      <c r="D1971" s="83"/>
      <c r="E1971" s="83"/>
      <c r="F1971" s="83"/>
      <c r="G1971" s="31"/>
      <c r="H1971" s="31"/>
    </row>
    <row r="1972" spans="1:8">
      <c r="A1972" s="31"/>
      <c r="B1972" s="105"/>
      <c r="C1972" s="112"/>
      <c r="D1972" s="83"/>
      <c r="E1972" s="83"/>
      <c r="F1972" s="83"/>
      <c r="G1972" s="31"/>
      <c r="H1972" s="31"/>
    </row>
    <row r="1973" spans="1:8">
      <c r="A1973" s="31"/>
      <c r="B1973" s="105"/>
      <c r="C1973" s="112"/>
      <c r="D1973" s="83"/>
      <c r="E1973" s="83"/>
      <c r="F1973" s="83"/>
      <c r="G1973" s="31"/>
      <c r="H1973" s="31"/>
    </row>
    <row r="1974" spans="1:8">
      <c r="A1974" s="31"/>
      <c r="B1974" s="105"/>
      <c r="C1974" s="112"/>
      <c r="D1974" s="83"/>
      <c r="E1974" s="83"/>
      <c r="F1974" s="83"/>
      <c r="G1974" s="31"/>
      <c r="H1974" s="31"/>
    </row>
    <row r="1975" spans="1:8">
      <c r="A1975" s="31"/>
      <c r="B1975" s="105"/>
      <c r="C1975" s="112"/>
      <c r="D1975" s="83"/>
      <c r="E1975" s="83"/>
      <c r="F1975" s="83"/>
      <c r="G1975" s="31"/>
      <c r="H1975" s="31"/>
    </row>
    <row r="1976" spans="1:8">
      <c r="A1976" s="31"/>
      <c r="B1976" s="105"/>
      <c r="C1976" s="112"/>
      <c r="D1976" s="83"/>
      <c r="E1976" s="83"/>
      <c r="F1976" s="83"/>
      <c r="G1976" s="31"/>
      <c r="H1976" s="31"/>
    </row>
    <row r="1977" spans="1:8">
      <c r="A1977" s="31"/>
      <c r="B1977" s="105"/>
      <c r="C1977" s="112"/>
      <c r="D1977" s="83"/>
      <c r="E1977" s="83"/>
      <c r="F1977" s="83"/>
      <c r="G1977" s="31"/>
      <c r="H1977" s="31"/>
    </row>
    <row r="1978" spans="1:8">
      <c r="A1978" s="31"/>
      <c r="B1978" s="105"/>
      <c r="C1978" s="112"/>
      <c r="D1978" s="83"/>
      <c r="E1978" s="83"/>
      <c r="F1978" s="83"/>
      <c r="G1978" s="31"/>
      <c r="H1978" s="31"/>
    </row>
    <row r="1979" spans="1:8">
      <c r="A1979" s="31"/>
      <c r="B1979" s="105"/>
      <c r="C1979" s="112"/>
      <c r="D1979" s="83"/>
      <c r="E1979" s="83"/>
      <c r="F1979" s="83"/>
      <c r="G1979" s="31"/>
      <c r="H1979" s="31"/>
    </row>
    <row r="1980" spans="1:8">
      <c r="A1980" s="31"/>
      <c r="B1980" s="105"/>
      <c r="C1980" s="112"/>
      <c r="D1980" s="83"/>
      <c r="E1980" s="83"/>
      <c r="F1980" s="83"/>
      <c r="G1980" s="31"/>
      <c r="H1980" s="31"/>
    </row>
    <row r="1981" spans="1:8">
      <c r="A1981" s="31"/>
      <c r="B1981" s="105"/>
      <c r="C1981" s="112"/>
      <c r="D1981" s="83"/>
      <c r="E1981" s="83"/>
      <c r="F1981" s="83"/>
      <c r="G1981" s="31"/>
      <c r="H1981" s="31"/>
    </row>
    <row r="1982" spans="1:8">
      <c r="A1982" s="31"/>
      <c r="B1982" s="105"/>
      <c r="C1982" s="112"/>
      <c r="D1982" s="83"/>
      <c r="E1982" s="83"/>
      <c r="F1982" s="83"/>
      <c r="G1982" s="31"/>
      <c r="H1982" s="31"/>
    </row>
    <row r="1983" spans="1:8">
      <c r="A1983" s="31"/>
      <c r="B1983" s="105"/>
      <c r="C1983" s="112"/>
      <c r="D1983" s="83"/>
      <c r="E1983" s="83"/>
      <c r="F1983" s="83"/>
      <c r="G1983" s="31"/>
      <c r="H1983" s="31"/>
    </row>
    <row r="1984" spans="1:8">
      <c r="A1984" s="31"/>
      <c r="B1984" s="105"/>
      <c r="C1984" s="112"/>
      <c r="D1984" s="83"/>
      <c r="E1984" s="83"/>
      <c r="F1984" s="83"/>
      <c r="G1984" s="31"/>
      <c r="H1984" s="31"/>
    </row>
    <row r="1985" spans="1:8">
      <c r="A1985" s="31"/>
      <c r="B1985" s="105"/>
      <c r="C1985" s="112"/>
      <c r="D1985" s="83"/>
      <c r="E1985" s="83"/>
      <c r="F1985" s="83"/>
      <c r="G1985" s="31"/>
      <c r="H1985" s="31"/>
    </row>
    <row r="1986" spans="1:8">
      <c r="A1986" s="31"/>
      <c r="B1986" s="105"/>
      <c r="C1986" s="112"/>
      <c r="D1986" s="83"/>
      <c r="E1986" s="83"/>
      <c r="F1986" s="83"/>
      <c r="G1986" s="31"/>
      <c r="H1986" s="31"/>
    </row>
    <row r="1987" spans="1:8">
      <c r="A1987" s="31"/>
      <c r="B1987" s="105"/>
      <c r="C1987" s="112"/>
      <c r="D1987" s="83"/>
      <c r="E1987" s="83"/>
      <c r="F1987" s="83"/>
      <c r="G1987" s="31"/>
      <c r="H1987" s="31"/>
    </row>
    <row r="1988" spans="1:8">
      <c r="A1988" s="31"/>
      <c r="B1988" s="105"/>
      <c r="C1988" s="112"/>
      <c r="D1988" s="83"/>
      <c r="E1988" s="83"/>
      <c r="F1988" s="83"/>
      <c r="G1988" s="31"/>
      <c r="H1988" s="31"/>
    </row>
    <row r="1989" spans="1:8">
      <c r="A1989" s="31"/>
      <c r="B1989" s="105"/>
      <c r="C1989" s="112"/>
      <c r="D1989" s="83"/>
      <c r="E1989" s="83"/>
      <c r="F1989" s="83"/>
      <c r="G1989" s="31"/>
      <c r="H1989" s="31"/>
    </row>
    <row r="1990" spans="1:8">
      <c r="A1990" s="31"/>
      <c r="B1990" s="105"/>
      <c r="C1990" s="112"/>
      <c r="D1990" s="83"/>
      <c r="E1990" s="83"/>
      <c r="F1990" s="83"/>
      <c r="G1990" s="31"/>
      <c r="H1990" s="31"/>
    </row>
    <row r="1991" spans="1:8">
      <c r="A1991" s="31"/>
      <c r="B1991" s="105"/>
      <c r="C1991" s="112"/>
      <c r="D1991" s="83"/>
      <c r="E1991" s="83"/>
      <c r="F1991" s="83"/>
      <c r="G1991" s="31"/>
      <c r="H1991" s="31"/>
    </row>
    <row r="1992" spans="1:8">
      <c r="A1992" s="31"/>
      <c r="B1992" s="105"/>
      <c r="C1992" s="112"/>
      <c r="D1992" s="83"/>
      <c r="E1992" s="83"/>
      <c r="F1992" s="83"/>
      <c r="G1992" s="31"/>
      <c r="H1992" s="31"/>
    </row>
    <row r="1993" spans="1:8">
      <c r="A1993" s="31"/>
      <c r="B1993" s="105"/>
      <c r="C1993" s="112"/>
      <c r="D1993" s="83"/>
      <c r="E1993" s="83"/>
      <c r="F1993" s="83"/>
      <c r="G1993" s="31"/>
      <c r="H1993" s="31"/>
    </row>
    <row r="1994" spans="1:8">
      <c r="A1994" s="31"/>
      <c r="B1994" s="105"/>
      <c r="C1994" s="112"/>
      <c r="D1994" s="83"/>
      <c r="E1994" s="83"/>
      <c r="F1994" s="83"/>
      <c r="G1994" s="31"/>
      <c r="H1994" s="31"/>
    </row>
    <row r="1995" spans="1:8">
      <c r="A1995" s="31"/>
      <c r="B1995" s="105"/>
      <c r="C1995" s="112"/>
      <c r="D1995" s="83"/>
      <c r="E1995" s="83"/>
      <c r="F1995" s="83"/>
      <c r="G1995" s="31"/>
      <c r="H1995" s="31"/>
    </row>
    <row r="1996" spans="1:8">
      <c r="A1996" s="31"/>
      <c r="B1996" s="105"/>
      <c r="C1996" s="112"/>
      <c r="D1996" s="83"/>
      <c r="E1996" s="83"/>
      <c r="F1996" s="83"/>
      <c r="G1996" s="31"/>
      <c r="H1996" s="31"/>
    </row>
    <row r="1997" spans="1:8">
      <c r="A1997" s="31"/>
      <c r="B1997" s="105"/>
      <c r="C1997" s="112"/>
      <c r="D1997" s="83"/>
      <c r="E1997" s="83"/>
      <c r="F1997" s="83"/>
      <c r="G1997" s="31"/>
      <c r="H1997" s="31"/>
    </row>
    <row r="1998" spans="1:8">
      <c r="A1998" s="31"/>
      <c r="B1998" s="105"/>
      <c r="C1998" s="112"/>
      <c r="D1998" s="83"/>
      <c r="E1998" s="83"/>
      <c r="F1998" s="83"/>
      <c r="G1998" s="31"/>
      <c r="H1998" s="31"/>
    </row>
    <row r="1999" spans="1:8">
      <c r="A1999" s="31"/>
      <c r="B1999" s="105"/>
      <c r="C1999" s="112"/>
      <c r="D1999" s="83"/>
      <c r="E1999" s="83"/>
      <c r="F1999" s="83"/>
      <c r="G1999" s="31"/>
      <c r="H1999" s="31"/>
    </row>
    <row r="2000" spans="1:8">
      <c r="A2000" s="31"/>
      <c r="B2000" s="105"/>
      <c r="C2000" s="112"/>
      <c r="D2000" s="83"/>
      <c r="E2000" s="83"/>
      <c r="F2000" s="83"/>
      <c r="G2000" s="31"/>
      <c r="H2000" s="31"/>
    </row>
    <row r="2001" spans="1:8">
      <c r="A2001" s="31"/>
      <c r="B2001" s="105"/>
      <c r="C2001" s="112"/>
      <c r="D2001" s="83"/>
      <c r="E2001" s="83"/>
      <c r="F2001" s="83"/>
      <c r="G2001" s="31"/>
      <c r="H2001" s="31"/>
    </row>
    <row r="2002" spans="1:8">
      <c r="A2002" s="31"/>
      <c r="B2002" s="105"/>
      <c r="C2002" s="112"/>
      <c r="D2002" s="83"/>
      <c r="E2002" s="83"/>
      <c r="F2002" s="83"/>
      <c r="G2002" s="31"/>
      <c r="H2002" s="31"/>
    </row>
    <row r="2003" spans="1:8">
      <c r="A2003" s="31"/>
      <c r="B2003" s="105"/>
      <c r="C2003" s="112"/>
      <c r="D2003" s="83"/>
      <c r="E2003" s="83"/>
      <c r="F2003" s="83"/>
      <c r="G2003" s="31"/>
      <c r="H2003" s="31"/>
    </row>
    <row r="2004" spans="1:8">
      <c r="A2004" s="31"/>
      <c r="B2004" s="105"/>
      <c r="C2004" s="112"/>
      <c r="D2004" s="83"/>
      <c r="E2004" s="83"/>
      <c r="F2004" s="83"/>
      <c r="G2004" s="31"/>
      <c r="H2004" s="31"/>
    </row>
    <row r="2005" spans="1:8">
      <c r="A2005" s="31"/>
      <c r="B2005" s="105"/>
      <c r="C2005" s="112"/>
      <c r="D2005" s="83"/>
      <c r="E2005" s="83"/>
      <c r="F2005" s="83"/>
      <c r="G2005" s="31"/>
      <c r="H2005" s="31"/>
    </row>
    <row r="2006" spans="1:8">
      <c r="A2006" s="31"/>
      <c r="B2006" s="105"/>
      <c r="C2006" s="112"/>
      <c r="D2006" s="83"/>
      <c r="E2006" s="83"/>
      <c r="F2006" s="83"/>
      <c r="G2006" s="31"/>
      <c r="H2006" s="31"/>
    </row>
    <row r="2007" spans="1:8">
      <c r="A2007" s="31"/>
      <c r="B2007" s="105"/>
      <c r="C2007" s="112"/>
      <c r="D2007" s="83"/>
      <c r="E2007" s="83"/>
      <c r="F2007" s="83"/>
      <c r="G2007" s="31"/>
      <c r="H2007" s="31"/>
    </row>
    <row r="2008" spans="1:8">
      <c r="A2008" s="31"/>
      <c r="B2008" s="105"/>
      <c r="C2008" s="112"/>
      <c r="D2008" s="83"/>
      <c r="E2008" s="83"/>
      <c r="F2008" s="83"/>
      <c r="G2008" s="31"/>
      <c r="H2008" s="31"/>
    </row>
    <row r="2009" spans="1:8">
      <c r="A2009" s="31"/>
      <c r="B2009" s="105"/>
      <c r="C2009" s="112"/>
      <c r="D2009" s="83"/>
      <c r="E2009" s="83"/>
      <c r="F2009" s="83"/>
      <c r="G2009" s="31"/>
      <c r="H2009" s="31"/>
    </row>
    <row r="2010" spans="1:8">
      <c r="A2010" s="31"/>
      <c r="B2010" s="105"/>
      <c r="C2010" s="112"/>
      <c r="D2010" s="83"/>
      <c r="E2010" s="83"/>
      <c r="F2010" s="83"/>
      <c r="G2010" s="31"/>
      <c r="H2010" s="31"/>
    </row>
    <row r="2011" spans="1:8">
      <c r="A2011" s="31"/>
      <c r="B2011" s="105"/>
      <c r="C2011" s="112"/>
      <c r="D2011" s="83"/>
      <c r="E2011" s="83"/>
      <c r="F2011" s="83"/>
      <c r="G2011" s="31"/>
      <c r="H2011" s="31"/>
    </row>
    <row r="2012" spans="1:8">
      <c r="A2012" s="31"/>
      <c r="B2012" s="105"/>
      <c r="C2012" s="112"/>
      <c r="D2012" s="83"/>
      <c r="E2012" s="83"/>
      <c r="F2012" s="83"/>
      <c r="G2012" s="31"/>
      <c r="H2012" s="31"/>
    </row>
    <row r="2013" spans="1:8">
      <c r="A2013" s="31"/>
      <c r="B2013" s="105"/>
      <c r="C2013" s="112"/>
      <c r="D2013" s="83"/>
      <c r="E2013" s="83"/>
      <c r="F2013" s="83"/>
      <c r="G2013" s="31"/>
      <c r="H2013" s="31"/>
    </row>
    <row r="2014" spans="1:8">
      <c r="A2014" s="31"/>
      <c r="B2014" s="105"/>
      <c r="C2014" s="112"/>
      <c r="D2014" s="83"/>
      <c r="E2014" s="83"/>
      <c r="F2014" s="83"/>
      <c r="G2014" s="31"/>
      <c r="H2014" s="31"/>
    </row>
    <row r="2015" spans="1:8">
      <c r="A2015" s="31"/>
      <c r="B2015" s="105"/>
      <c r="C2015" s="112"/>
      <c r="D2015" s="83"/>
      <c r="E2015" s="83"/>
      <c r="F2015" s="83"/>
      <c r="G2015" s="31"/>
      <c r="H2015" s="31"/>
    </row>
    <row r="2016" spans="1:8">
      <c r="A2016" s="31"/>
      <c r="B2016" s="105"/>
      <c r="C2016" s="112"/>
      <c r="D2016" s="83"/>
      <c r="E2016" s="83"/>
      <c r="F2016" s="83"/>
      <c r="G2016" s="31"/>
      <c r="H2016" s="31"/>
    </row>
    <row r="2017" spans="1:8">
      <c r="A2017" s="31"/>
      <c r="B2017" s="105"/>
      <c r="C2017" s="112"/>
      <c r="D2017" s="83"/>
      <c r="E2017" s="83"/>
      <c r="F2017" s="83"/>
      <c r="G2017" s="31"/>
      <c r="H2017" s="31"/>
    </row>
    <row r="2018" spans="1:8">
      <c r="A2018" s="31"/>
      <c r="B2018" s="105"/>
      <c r="C2018" s="112"/>
      <c r="D2018" s="83"/>
      <c r="E2018" s="83"/>
      <c r="F2018" s="83"/>
      <c r="G2018" s="31"/>
      <c r="H2018" s="31"/>
    </row>
    <row r="2019" spans="1:8">
      <c r="A2019" s="31"/>
      <c r="B2019" s="105"/>
      <c r="C2019" s="112"/>
      <c r="D2019" s="83"/>
      <c r="E2019" s="83"/>
      <c r="F2019" s="83"/>
      <c r="G2019" s="31"/>
      <c r="H2019" s="31"/>
    </row>
    <row r="2020" spans="1:8">
      <c r="A2020" s="31"/>
      <c r="B2020" s="105"/>
      <c r="C2020" s="112"/>
      <c r="D2020" s="83"/>
      <c r="E2020" s="83"/>
      <c r="F2020" s="83"/>
      <c r="G2020" s="31"/>
      <c r="H2020" s="31"/>
    </row>
    <row r="2021" spans="1:8">
      <c r="A2021" s="31"/>
      <c r="B2021" s="105"/>
      <c r="C2021" s="112"/>
      <c r="D2021" s="83"/>
      <c r="E2021" s="83"/>
      <c r="F2021" s="83"/>
      <c r="G2021" s="31"/>
      <c r="H2021" s="31"/>
    </row>
    <row r="2022" spans="1:8">
      <c r="A2022" s="31"/>
      <c r="B2022" s="105"/>
      <c r="C2022" s="112"/>
      <c r="D2022" s="83"/>
      <c r="E2022" s="83"/>
      <c r="F2022" s="83"/>
      <c r="G2022" s="31"/>
      <c r="H2022" s="31"/>
    </row>
    <row r="2023" spans="1:8">
      <c r="A2023" s="31"/>
      <c r="B2023" s="105"/>
      <c r="C2023" s="112"/>
      <c r="D2023" s="83"/>
      <c r="E2023" s="83"/>
      <c r="F2023" s="83"/>
      <c r="G2023" s="31"/>
      <c r="H2023" s="31"/>
    </row>
    <row r="2024" spans="1:8">
      <c r="A2024" s="31"/>
      <c r="B2024" s="105"/>
      <c r="C2024" s="112"/>
      <c r="D2024" s="83"/>
      <c r="E2024" s="83"/>
      <c r="F2024" s="83"/>
      <c r="G2024" s="31"/>
      <c r="H2024" s="31"/>
    </row>
    <row r="2025" spans="1:8">
      <c r="A2025" s="31"/>
      <c r="B2025" s="105"/>
      <c r="C2025" s="112"/>
      <c r="D2025" s="83"/>
      <c r="E2025" s="83"/>
      <c r="F2025" s="83"/>
      <c r="G2025" s="31"/>
      <c r="H2025" s="31"/>
    </row>
    <row r="2026" spans="1:8">
      <c r="A2026" s="31"/>
      <c r="B2026" s="105"/>
      <c r="C2026" s="112"/>
      <c r="D2026" s="83"/>
      <c r="E2026" s="83"/>
      <c r="F2026" s="83"/>
      <c r="G2026" s="31"/>
      <c r="H2026" s="31"/>
    </row>
    <row r="2027" spans="1:8">
      <c r="A2027" s="31"/>
      <c r="B2027" s="105"/>
      <c r="C2027" s="112"/>
      <c r="D2027" s="83"/>
      <c r="E2027" s="83"/>
      <c r="F2027" s="83"/>
      <c r="G2027" s="31"/>
      <c r="H2027" s="31"/>
    </row>
    <row r="2028" spans="1:8">
      <c r="A2028" s="31"/>
      <c r="B2028" s="105"/>
      <c r="C2028" s="112"/>
      <c r="D2028" s="83"/>
      <c r="E2028" s="83"/>
      <c r="F2028" s="83"/>
      <c r="G2028" s="31"/>
      <c r="H2028" s="31"/>
    </row>
    <row r="2029" spans="1:8">
      <c r="A2029" s="31"/>
      <c r="B2029" s="105"/>
      <c r="C2029" s="112"/>
      <c r="D2029" s="83"/>
      <c r="E2029" s="83"/>
      <c r="F2029" s="83"/>
      <c r="G2029" s="31"/>
      <c r="H2029" s="31"/>
    </row>
    <row r="2030" spans="1:8">
      <c r="A2030" s="31"/>
      <c r="B2030" s="105"/>
      <c r="C2030" s="112"/>
      <c r="D2030" s="83"/>
      <c r="E2030" s="83"/>
      <c r="F2030" s="83"/>
      <c r="G2030" s="31"/>
      <c r="H2030" s="31"/>
    </row>
    <row r="2031" spans="1:8">
      <c r="A2031" s="31"/>
      <c r="B2031" s="105"/>
      <c r="C2031" s="112"/>
      <c r="D2031" s="83"/>
      <c r="E2031" s="83"/>
      <c r="F2031" s="83"/>
      <c r="G2031" s="31"/>
      <c r="H2031" s="31"/>
    </row>
    <row r="2032" spans="1:8">
      <c r="A2032" s="31"/>
      <c r="B2032" s="105"/>
      <c r="C2032" s="112"/>
      <c r="D2032" s="83"/>
      <c r="E2032" s="83"/>
      <c r="F2032" s="83"/>
      <c r="G2032" s="31"/>
      <c r="H2032" s="31"/>
    </row>
    <row r="2033" spans="1:8">
      <c r="A2033" s="31"/>
      <c r="B2033" s="105"/>
      <c r="C2033" s="112"/>
      <c r="D2033" s="83"/>
      <c r="E2033" s="83"/>
      <c r="F2033" s="83"/>
      <c r="G2033" s="31"/>
      <c r="H2033" s="31"/>
    </row>
    <row r="2034" spans="1:8">
      <c r="A2034" s="31"/>
      <c r="B2034" s="105"/>
      <c r="C2034" s="112"/>
      <c r="D2034" s="83"/>
      <c r="E2034" s="83"/>
      <c r="F2034" s="83"/>
      <c r="G2034" s="31"/>
      <c r="H2034" s="31"/>
    </row>
    <row r="2035" spans="1:8">
      <c r="A2035" s="31"/>
      <c r="B2035" s="105"/>
      <c r="C2035" s="112"/>
      <c r="D2035" s="83"/>
      <c r="E2035" s="83"/>
      <c r="F2035" s="83"/>
      <c r="G2035" s="31"/>
      <c r="H2035" s="31"/>
    </row>
    <row r="2036" spans="1:8">
      <c r="A2036" s="31"/>
      <c r="B2036" s="105"/>
      <c r="C2036" s="112"/>
      <c r="D2036" s="83"/>
      <c r="E2036" s="83"/>
      <c r="F2036" s="83"/>
      <c r="G2036" s="31"/>
      <c r="H2036" s="31"/>
    </row>
    <row r="2037" spans="1:8">
      <c r="A2037" s="31"/>
      <c r="B2037" s="105"/>
      <c r="C2037" s="112"/>
      <c r="D2037" s="83"/>
      <c r="E2037" s="83"/>
      <c r="F2037" s="83"/>
      <c r="G2037" s="31"/>
      <c r="H2037" s="31"/>
    </row>
    <row r="2038" spans="1:8">
      <c r="A2038" s="31"/>
      <c r="B2038" s="105"/>
      <c r="C2038" s="112"/>
      <c r="D2038" s="83"/>
      <c r="E2038" s="83"/>
      <c r="F2038" s="83"/>
      <c r="G2038" s="31"/>
      <c r="H2038" s="31"/>
    </row>
    <row r="2039" spans="1:8">
      <c r="A2039" s="31"/>
      <c r="B2039" s="105"/>
      <c r="C2039" s="112"/>
      <c r="D2039" s="83"/>
      <c r="E2039" s="83"/>
      <c r="F2039" s="83"/>
      <c r="G2039" s="31"/>
      <c r="H2039" s="31"/>
    </row>
    <row r="2040" spans="1:8">
      <c r="A2040" s="31"/>
      <c r="B2040" s="105"/>
      <c r="C2040" s="112"/>
      <c r="D2040" s="83"/>
      <c r="E2040" s="83"/>
      <c r="F2040" s="83"/>
      <c r="G2040" s="31"/>
      <c r="H2040" s="31"/>
    </row>
    <row r="2041" spans="1:8">
      <c r="A2041" s="31"/>
      <c r="B2041" s="105"/>
      <c r="C2041" s="112"/>
      <c r="D2041" s="83"/>
      <c r="E2041" s="83"/>
      <c r="F2041" s="83"/>
      <c r="G2041" s="31"/>
      <c r="H2041" s="31"/>
    </row>
    <row r="2042" spans="1:8">
      <c r="A2042" s="31"/>
      <c r="B2042" s="105"/>
      <c r="C2042" s="112"/>
      <c r="D2042" s="83"/>
      <c r="E2042" s="83"/>
      <c r="F2042" s="83"/>
      <c r="G2042" s="31"/>
      <c r="H2042" s="31"/>
    </row>
    <row r="2043" spans="1:8">
      <c r="A2043" s="31"/>
      <c r="B2043" s="105"/>
      <c r="C2043" s="112"/>
      <c r="D2043" s="83"/>
      <c r="E2043" s="83"/>
      <c r="F2043" s="83"/>
      <c r="G2043" s="31"/>
      <c r="H2043" s="31"/>
    </row>
    <row r="2044" spans="1:8">
      <c r="A2044" s="31"/>
      <c r="B2044" s="105"/>
      <c r="C2044" s="112"/>
      <c r="D2044" s="83"/>
      <c r="E2044" s="83"/>
      <c r="F2044" s="83"/>
      <c r="G2044" s="31"/>
      <c r="H2044" s="31"/>
    </row>
    <row r="2045" spans="1:8">
      <c r="A2045" s="31"/>
      <c r="B2045" s="105"/>
      <c r="C2045" s="112"/>
      <c r="D2045" s="83"/>
      <c r="E2045" s="83"/>
      <c r="F2045" s="83"/>
      <c r="G2045" s="31"/>
      <c r="H2045" s="31"/>
    </row>
    <row r="2046" spans="1:8">
      <c r="A2046" s="31"/>
      <c r="B2046" s="105"/>
      <c r="C2046" s="112"/>
      <c r="D2046" s="83"/>
      <c r="E2046" s="83"/>
      <c r="F2046" s="83"/>
      <c r="G2046" s="31"/>
      <c r="H2046" s="31"/>
    </row>
    <row r="2047" spans="1:8">
      <c r="A2047" s="31"/>
      <c r="B2047" s="105"/>
      <c r="C2047" s="112"/>
      <c r="D2047" s="83"/>
      <c r="E2047" s="83"/>
      <c r="F2047" s="83"/>
      <c r="G2047" s="31"/>
      <c r="H2047" s="31"/>
    </row>
    <row r="2048" spans="1:8">
      <c r="A2048" s="31"/>
      <c r="B2048" s="105"/>
      <c r="C2048" s="112"/>
      <c r="D2048" s="83"/>
      <c r="E2048" s="83"/>
      <c r="F2048" s="83"/>
      <c r="G2048" s="31"/>
      <c r="H2048" s="31"/>
    </row>
    <row r="2049" spans="1:8">
      <c r="A2049" s="31"/>
      <c r="B2049" s="105"/>
      <c r="C2049" s="112"/>
      <c r="D2049" s="83"/>
      <c r="E2049" s="83"/>
      <c r="F2049" s="83"/>
      <c r="G2049" s="31"/>
      <c r="H2049" s="31"/>
    </row>
    <row r="2050" spans="1:8">
      <c r="A2050" s="31"/>
      <c r="B2050" s="105"/>
      <c r="C2050" s="112"/>
      <c r="D2050" s="83"/>
      <c r="E2050" s="83"/>
      <c r="F2050" s="83"/>
      <c r="G2050" s="31"/>
      <c r="H2050" s="31"/>
    </row>
    <row r="2051" spans="1:8">
      <c r="A2051" s="31"/>
      <c r="B2051" s="105"/>
      <c r="C2051" s="112"/>
      <c r="D2051" s="83"/>
      <c r="E2051" s="83"/>
      <c r="F2051" s="83"/>
      <c r="G2051" s="31"/>
      <c r="H2051" s="31"/>
    </row>
    <row r="2052" spans="1:8">
      <c r="A2052" s="31"/>
      <c r="B2052" s="105"/>
      <c r="C2052" s="112"/>
      <c r="D2052" s="83"/>
      <c r="E2052" s="83"/>
      <c r="F2052" s="83"/>
      <c r="G2052" s="31"/>
      <c r="H2052" s="31"/>
    </row>
    <row r="2053" spans="1:8">
      <c r="A2053" s="31"/>
      <c r="B2053" s="105"/>
      <c r="C2053" s="112"/>
      <c r="D2053" s="83"/>
      <c r="E2053" s="83"/>
      <c r="F2053" s="83"/>
      <c r="G2053" s="31"/>
      <c r="H2053" s="31"/>
    </row>
    <row r="2054" spans="1:8">
      <c r="A2054" s="31"/>
      <c r="B2054" s="105"/>
      <c r="C2054" s="112"/>
      <c r="D2054" s="83"/>
      <c r="E2054" s="83"/>
      <c r="F2054" s="83"/>
      <c r="G2054" s="31"/>
      <c r="H2054" s="31"/>
    </row>
    <row r="2055" spans="1:8">
      <c r="A2055" s="31"/>
      <c r="B2055" s="105"/>
      <c r="C2055" s="112"/>
      <c r="D2055" s="83"/>
      <c r="E2055" s="83"/>
      <c r="F2055" s="83"/>
      <c r="G2055" s="31"/>
      <c r="H2055" s="31"/>
    </row>
    <row r="2056" spans="1:8">
      <c r="A2056" s="31"/>
      <c r="B2056" s="105"/>
      <c r="C2056" s="112"/>
      <c r="D2056" s="83"/>
      <c r="E2056" s="83"/>
      <c r="F2056" s="83"/>
      <c r="G2056" s="31"/>
      <c r="H2056" s="31"/>
    </row>
    <row r="2057" spans="1:8">
      <c r="A2057" s="31"/>
      <c r="B2057" s="105"/>
      <c r="C2057" s="112"/>
      <c r="D2057" s="83"/>
      <c r="E2057" s="83"/>
      <c r="F2057" s="83"/>
      <c r="G2057" s="31"/>
      <c r="H2057" s="31"/>
    </row>
    <row r="2058" spans="1:8">
      <c r="A2058" s="31"/>
      <c r="B2058" s="105"/>
      <c r="C2058" s="112"/>
      <c r="D2058" s="83"/>
      <c r="E2058" s="83"/>
      <c r="F2058" s="83"/>
      <c r="G2058" s="31"/>
      <c r="H2058" s="31"/>
    </row>
    <row r="2059" spans="1:8">
      <c r="A2059" s="31"/>
      <c r="B2059" s="105"/>
      <c r="C2059" s="112"/>
      <c r="D2059" s="83"/>
      <c r="E2059" s="83"/>
      <c r="F2059" s="83"/>
      <c r="G2059" s="31"/>
      <c r="H2059" s="31"/>
    </row>
    <row r="2060" spans="1:8">
      <c r="A2060" s="31"/>
      <c r="B2060" s="105"/>
      <c r="C2060" s="112"/>
      <c r="D2060" s="83"/>
      <c r="E2060" s="83"/>
      <c r="F2060" s="83"/>
      <c r="G2060" s="31"/>
      <c r="H2060" s="31"/>
    </row>
    <row r="2061" spans="1:8">
      <c r="A2061" s="31"/>
      <c r="B2061" s="105"/>
      <c r="C2061" s="112"/>
      <c r="D2061" s="83"/>
      <c r="E2061" s="83"/>
      <c r="F2061" s="83"/>
      <c r="G2061" s="31"/>
      <c r="H2061" s="31"/>
    </row>
    <row r="2062" spans="1:8">
      <c r="A2062" s="31"/>
      <c r="B2062" s="105"/>
      <c r="C2062" s="112"/>
      <c r="D2062" s="83"/>
      <c r="E2062" s="83"/>
      <c r="F2062" s="83"/>
      <c r="G2062" s="31"/>
      <c r="H2062" s="31"/>
    </row>
    <row r="2063" spans="1:8">
      <c r="A2063" s="31"/>
      <c r="B2063" s="105"/>
      <c r="C2063" s="112"/>
      <c r="D2063" s="83"/>
      <c r="E2063" s="83"/>
      <c r="F2063" s="83"/>
      <c r="G2063" s="31"/>
      <c r="H2063" s="31"/>
    </row>
    <row r="2064" spans="1:8">
      <c r="A2064" s="31"/>
      <c r="B2064" s="105"/>
      <c r="C2064" s="112"/>
      <c r="D2064" s="83"/>
      <c r="E2064" s="83"/>
      <c r="F2064" s="83"/>
      <c r="G2064" s="31"/>
      <c r="H2064" s="31"/>
    </row>
    <row r="2065" spans="1:8">
      <c r="A2065" s="31"/>
      <c r="B2065" s="105"/>
      <c r="C2065" s="112"/>
      <c r="D2065" s="83"/>
      <c r="E2065" s="83"/>
      <c r="F2065" s="83"/>
      <c r="G2065" s="31"/>
      <c r="H2065" s="31"/>
    </row>
    <row r="2066" spans="1:8">
      <c r="A2066" s="31"/>
      <c r="B2066" s="105"/>
      <c r="C2066" s="112"/>
      <c r="D2066" s="83"/>
      <c r="E2066" s="83"/>
      <c r="F2066" s="83"/>
      <c r="G2066" s="31"/>
      <c r="H2066" s="31"/>
    </row>
    <row r="2067" spans="1:8">
      <c r="A2067" s="31"/>
      <c r="B2067" s="105"/>
      <c r="C2067" s="112"/>
      <c r="D2067" s="83"/>
      <c r="E2067" s="83"/>
      <c r="F2067" s="83"/>
      <c r="G2067" s="31"/>
      <c r="H2067" s="31"/>
    </row>
    <row r="2068" spans="1:8">
      <c r="A2068" s="31"/>
      <c r="B2068" s="105"/>
      <c r="C2068" s="112"/>
      <c r="D2068" s="83"/>
      <c r="E2068" s="83"/>
      <c r="F2068" s="83"/>
      <c r="G2068" s="31"/>
      <c r="H2068" s="31"/>
    </row>
    <row r="2069" spans="1:8">
      <c r="A2069" s="31"/>
      <c r="B2069" s="105"/>
      <c r="C2069" s="112"/>
      <c r="D2069" s="83"/>
      <c r="E2069" s="83"/>
      <c r="F2069" s="83"/>
      <c r="G2069" s="31"/>
      <c r="H2069" s="31"/>
    </row>
    <row r="2070" spans="1:8">
      <c r="A2070" s="31"/>
      <c r="B2070" s="105"/>
      <c r="C2070" s="112"/>
      <c r="D2070" s="83"/>
      <c r="E2070" s="83"/>
      <c r="F2070" s="83"/>
      <c r="G2070" s="31"/>
      <c r="H2070" s="31"/>
    </row>
    <row r="2071" spans="1:8">
      <c r="A2071" s="31"/>
      <c r="B2071" s="105"/>
      <c r="C2071" s="112"/>
      <c r="D2071" s="83"/>
      <c r="E2071" s="83"/>
      <c r="F2071" s="83"/>
      <c r="G2071" s="31"/>
      <c r="H2071" s="31"/>
    </row>
    <row r="2072" spans="1:8">
      <c r="A2072" s="31"/>
      <c r="B2072" s="105"/>
      <c r="C2072" s="112"/>
      <c r="D2072" s="83"/>
      <c r="E2072" s="83"/>
      <c r="F2072" s="83"/>
      <c r="G2072" s="31"/>
      <c r="H2072" s="31"/>
    </row>
    <row r="2073" spans="1:8">
      <c r="A2073" s="31"/>
      <c r="B2073" s="105"/>
      <c r="C2073" s="112"/>
      <c r="D2073" s="83"/>
      <c r="E2073" s="83"/>
      <c r="F2073" s="83"/>
      <c r="G2073" s="31"/>
      <c r="H2073" s="31"/>
    </row>
    <row r="2074" spans="1:8">
      <c r="A2074" s="31"/>
      <c r="B2074" s="105"/>
      <c r="C2074" s="112"/>
      <c r="D2074" s="83"/>
      <c r="E2074" s="83"/>
      <c r="F2074" s="83"/>
      <c r="G2074" s="31"/>
      <c r="H2074" s="31"/>
    </row>
    <row r="2075" spans="1:8">
      <c r="A2075" s="31"/>
      <c r="B2075" s="105"/>
      <c r="C2075" s="112"/>
      <c r="D2075" s="83"/>
      <c r="E2075" s="83"/>
      <c r="F2075" s="83"/>
      <c r="G2075" s="31"/>
      <c r="H2075" s="31"/>
    </row>
    <row r="2076" spans="1:8">
      <c r="A2076" s="31"/>
      <c r="B2076" s="105"/>
      <c r="C2076" s="112"/>
      <c r="D2076" s="83"/>
      <c r="E2076" s="83"/>
      <c r="F2076" s="83"/>
      <c r="G2076" s="31"/>
      <c r="H2076" s="31"/>
    </row>
    <row r="2077" spans="1:8">
      <c r="A2077" s="31"/>
      <c r="B2077" s="105"/>
      <c r="C2077" s="112"/>
      <c r="D2077" s="83"/>
      <c r="E2077" s="83"/>
      <c r="F2077" s="83"/>
      <c r="G2077" s="31"/>
      <c r="H2077" s="31"/>
    </row>
    <row r="2078" spans="1:8">
      <c r="A2078" s="31"/>
      <c r="B2078" s="105"/>
      <c r="C2078" s="112"/>
      <c r="D2078" s="83"/>
      <c r="E2078" s="83"/>
      <c r="F2078" s="83"/>
      <c r="G2078" s="31"/>
      <c r="H2078" s="31"/>
    </row>
    <row r="2079" spans="1:8">
      <c r="A2079" s="31"/>
      <c r="B2079" s="105"/>
      <c r="C2079" s="112"/>
      <c r="D2079" s="83"/>
      <c r="E2079" s="83"/>
      <c r="F2079" s="83"/>
      <c r="G2079" s="31"/>
      <c r="H2079" s="31"/>
    </row>
    <row r="2080" spans="1:8">
      <c r="A2080" s="31"/>
      <c r="B2080" s="105"/>
      <c r="C2080" s="112"/>
      <c r="D2080" s="83"/>
      <c r="E2080" s="83"/>
      <c r="F2080" s="83"/>
      <c r="G2080" s="31"/>
      <c r="H2080" s="31"/>
    </row>
    <row r="2081" spans="1:8">
      <c r="A2081" s="31"/>
      <c r="B2081" s="105"/>
      <c r="C2081" s="112"/>
      <c r="D2081" s="83"/>
      <c r="E2081" s="83"/>
      <c r="F2081" s="83"/>
      <c r="G2081" s="31"/>
      <c r="H2081" s="31"/>
    </row>
    <row r="2082" spans="1:8">
      <c r="A2082" s="31"/>
      <c r="B2082" s="105"/>
      <c r="C2082" s="112"/>
      <c r="D2082" s="83"/>
      <c r="E2082" s="83"/>
      <c r="F2082" s="83"/>
      <c r="G2082" s="31"/>
      <c r="H2082" s="31"/>
    </row>
    <row r="2083" spans="1:8">
      <c r="A2083" s="31"/>
      <c r="B2083" s="105"/>
      <c r="C2083" s="112"/>
      <c r="D2083" s="83"/>
      <c r="E2083" s="83"/>
      <c r="F2083" s="83"/>
      <c r="G2083" s="31"/>
      <c r="H2083" s="31"/>
    </row>
    <row r="2084" spans="1:8">
      <c r="A2084" s="31"/>
      <c r="B2084" s="105"/>
      <c r="C2084" s="112"/>
      <c r="D2084" s="83"/>
      <c r="E2084" s="83"/>
      <c r="F2084" s="83"/>
      <c r="G2084" s="31"/>
      <c r="H2084" s="31"/>
    </row>
    <row r="2085" spans="1:8">
      <c r="A2085" s="31"/>
      <c r="B2085" s="105"/>
      <c r="C2085" s="112"/>
      <c r="D2085" s="83"/>
      <c r="E2085" s="83"/>
      <c r="F2085" s="83"/>
      <c r="G2085" s="31"/>
      <c r="H2085" s="31"/>
    </row>
    <row r="2086" spans="1:8">
      <c r="A2086" s="31"/>
      <c r="B2086" s="105"/>
      <c r="C2086" s="112"/>
      <c r="D2086" s="83"/>
      <c r="E2086" s="83"/>
      <c r="F2086" s="83"/>
      <c r="G2086" s="31"/>
      <c r="H2086" s="31"/>
    </row>
    <row r="2087" spans="1:8">
      <c r="A2087" s="31"/>
      <c r="B2087" s="105"/>
      <c r="C2087" s="112"/>
      <c r="D2087" s="83"/>
      <c r="E2087" s="83"/>
      <c r="F2087" s="83"/>
      <c r="G2087" s="31"/>
      <c r="H2087" s="31"/>
    </row>
    <row r="2088" spans="1:8">
      <c r="A2088" s="31"/>
      <c r="B2088" s="105"/>
      <c r="C2088" s="112"/>
      <c r="D2088" s="83"/>
      <c r="E2088" s="83"/>
      <c r="F2088" s="83"/>
      <c r="G2088" s="31"/>
      <c r="H2088" s="31"/>
    </row>
    <row r="2089" spans="1:8">
      <c r="A2089" s="31"/>
      <c r="B2089" s="105"/>
      <c r="C2089" s="112"/>
      <c r="D2089" s="83"/>
      <c r="E2089" s="83"/>
      <c r="F2089" s="83"/>
      <c r="G2089" s="31"/>
      <c r="H2089" s="31"/>
    </row>
    <row r="2090" spans="1:8">
      <c r="A2090" s="31"/>
      <c r="B2090" s="105"/>
      <c r="C2090" s="112"/>
      <c r="D2090" s="83"/>
      <c r="E2090" s="83"/>
      <c r="F2090" s="83"/>
      <c r="G2090" s="31"/>
      <c r="H2090" s="31"/>
    </row>
    <row r="2091" spans="1:8">
      <c r="A2091" s="31"/>
      <c r="B2091" s="105"/>
      <c r="C2091" s="112"/>
      <c r="D2091" s="83"/>
      <c r="E2091" s="83"/>
      <c r="F2091" s="83"/>
      <c r="G2091" s="31"/>
      <c r="H2091" s="31"/>
    </row>
    <row r="2092" spans="1:8">
      <c r="A2092" s="31"/>
      <c r="B2092" s="105"/>
      <c r="C2092" s="112"/>
      <c r="D2092" s="83"/>
      <c r="E2092" s="83"/>
      <c r="F2092" s="83"/>
      <c r="G2092" s="31"/>
      <c r="H2092" s="31"/>
    </row>
    <row r="2093" spans="1:8">
      <c r="A2093" s="31"/>
      <c r="B2093" s="105"/>
      <c r="C2093" s="112"/>
      <c r="D2093" s="83"/>
      <c r="E2093" s="83"/>
      <c r="F2093" s="83"/>
      <c r="G2093" s="31"/>
      <c r="H2093" s="31"/>
    </row>
    <row r="2094" spans="1:8">
      <c r="A2094" s="31"/>
      <c r="B2094" s="105"/>
      <c r="C2094" s="112"/>
      <c r="D2094" s="83"/>
      <c r="E2094" s="83"/>
      <c r="F2094" s="83"/>
      <c r="G2094" s="31"/>
      <c r="H2094" s="31"/>
    </row>
    <row r="2095" spans="1:8">
      <c r="A2095" s="31"/>
      <c r="B2095" s="105"/>
      <c r="C2095" s="112"/>
      <c r="D2095" s="83"/>
      <c r="E2095" s="83"/>
      <c r="F2095" s="83"/>
      <c r="G2095" s="31"/>
      <c r="H2095" s="31"/>
    </row>
    <row r="2096" spans="1:8">
      <c r="A2096" s="31"/>
      <c r="B2096" s="105"/>
      <c r="C2096" s="112"/>
      <c r="D2096" s="83"/>
      <c r="E2096" s="83"/>
      <c r="F2096" s="83"/>
      <c r="G2096" s="31"/>
      <c r="H2096" s="31"/>
    </row>
    <row r="2097" spans="1:8">
      <c r="A2097" s="31"/>
      <c r="B2097" s="105"/>
      <c r="C2097" s="112"/>
      <c r="D2097" s="83"/>
      <c r="E2097" s="83"/>
      <c r="F2097" s="83"/>
      <c r="G2097" s="31"/>
      <c r="H2097" s="31"/>
    </row>
    <row r="2098" spans="1:8">
      <c r="A2098" s="31"/>
      <c r="B2098" s="105"/>
      <c r="C2098" s="112"/>
      <c r="D2098" s="83"/>
      <c r="E2098" s="83"/>
      <c r="F2098" s="83"/>
      <c r="G2098" s="31"/>
      <c r="H2098" s="31"/>
    </row>
    <row r="2099" spans="1:8">
      <c r="A2099" s="31"/>
      <c r="B2099" s="105"/>
      <c r="C2099" s="112"/>
      <c r="D2099" s="83"/>
      <c r="E2099" s="83"/>
      <c r="F2099" s="83"/>
      <c r="G2099" s="31"/>
      <c r="H2099" s="31"/>
    </row>
    <row r="2100" spans="1:8">
      <c r="A2100" s="31"/>
      <c r="B2100" s="105"/>
      <c r="C2100" s="112"/>
      <c r="D2100" s="83"/>
      <c r="E2100" s="83"/>
      <c r="F2100" s="83"/>
      <c r="G2100" s="31"/>
      <c r="H2100" s="31"/>
    </row>
    <row r="2101" spans="1:8">
      <c r="A2101" s="31"/>
      <c r="B2101" s="105"/>
      <c r="C2101" s="112"/>
      <c r="D2101" s="83"/>
      <c r="E2101" s="83"/>
      <c r="F2101" s="83"/>
      <c r="G2101" s="31"/>
      <c r="H2101" s="31"/>
    </row>
    <row r="2102" spans="1:8">
      <c r="A2102" s="31"/>
      <c r="B2102" s="105"/>
      <c r="C2102" s="112"/>
      <c r="D2102" s="83"/>
      <c r="E2102" s="83"/>
      <c r="F2102" s="83"/>
      <c r="G2102" s="31"/>
      <c r="H2102" s="31"/>
    </row>
    <row r="2103" spans="1:8">
      <c r="A2103" s="31"/>
      <c r="B2103" s="105"/>
      <c r="C2103" s="112"/>
      <c r="D2103" s="83"/>
      <c r="E2103" s="83"/>
      <c r="F2103" s="83"/>
      <c r="G2103" s="31"/>
      <c r="H2103" s="31"/>
    </row>
    <row r="2104" spans="1:8">
      <c r="A2104" s="31"/>
      <c r="B2104" s="105"/>
      <c r="C2104" s="112"/>
      <c r="D2104" s="83"/>
      <c r="E2104" s="83"/>
      <c r="F2104" s="83"/>
      <c r="G2104" s="31"/>
      <c r="H2104" s="31"/>
    </row>
    <row r="2105" spans="1:8">
      <c r="A2105" s="31"/>
      <c r="B2105" s="105"/>
      <c r="C2105" s="112"/>
      <c r="D2105" s="83"/>
      <c r="E2105" s="83"/>
      <c r="F2105" s="83"/>
      <c r="G2105" s="31"/>
      <c r="H2105" s="31"/>
    </row>
    <row r="2106" spans="1:8">
      <c r="A2106" s="31"/>
      <c r="B2106" s="105"/>
      <c r="C2106" s="112"/>
      <c r="D2106" s="83"/>
      <c r="E2106" s="83"/>
      <c r="F2106" s="83"/>
      <c r="G2106" s="31"/>
      <c r="H2106" s="31"/>
    </row>
    <row r="2107" spans="1:8">
      <c r="A2107" s="31"/>
      <c r="B2107" s="105"/>
      <c r="C2107" s="112"/>
      <c r="D2107" s="83"/>
      <c r="E2107" s="83"/>
      <c r="F2107" s="83"/>
      <c r="G2107" s="31"/>
      <c r="H2107" s="31"/>
    </row>
    <row r="2108" spans="1:8">
      <c r="A2108" s="31"/>
      <c r="B2108" s="105"/>
      <c r="C2108" s="112"/>
      <c r="D2108" s="83"/>
      <c r="E2108" s="83"/>
      <c r="F2108" s="83"/>
      <c r="G2108" s="31"/>
      <c r="H2108" s="31"/>
    </row>
    <row r="2109" spans="1:8">
      <c r="A2109" s="31"/>
      <c r="B2109" s="105"/>
      <c r="C2109" s="112"/>
      <c r="D2109" s="83"/>
      <c r="E2109" s="83"/>
      <c r="F2109" s="83"/>
      <c r="G2109" s="31"/>
      <c r="H2109" s="31"/>
    </row>
    <row r="2110" spans="1:8">
      <c r="A2110" s="31"/>
      <c r="B2110" s="105"/>
      <c r="C2110" s="112"/>
      <c r="D2110" s="83"/>
      <c r="E2110" s="83"/>
      <c r="F2110" s="83"/>
      <c r="G2110" s="31"/>
      <c r="H2110" s="31"/>
    </row>
    <row r="2111" spans="1:8">
      <c r="A2111" s="31"/>
      <c r="B2111" s="105"/>
      <c r="C2111" s="112"/>
      <c r="D2111" s="83"/>
      <c r="E2111" s="83"/>
      <c r="F2111" s="83"/>
      <c r="G2111" s="31"/>
      <c r="H2111" s="31"/>
    </row>
    <row r="2112" spans="1:8">
      <c r="A2112" s="31"/>
      <c r="B2112" s="105"/>
      <c r="C2112" s="112"/>
      <c r="D2112" s="83"/>
      <c r="E2112" s="83"/>
      <c r="F2112" s="83"/>
      <c r="G2112" s="31"/>
      <c r="H2112" s="31"/>
    </row>
    <row r="2113" spans="1:8">
      <c r="A2113" s="31"/>
      <c r="B2113" s="105"/>
      <c r="C2113" s="112"/>
      <c r="D2113" s="83"/>
      <c r="E2113" s="83"/>
      <c r="F2113" s="83"/>
      <c r="G2113" s="31"/>
      <c r="H2113" s="31"/>
    </row>
    <row r="2114" spans="1:8">
      <c r="A2114" s="31"/>
      <c r="B2114" s="105"/>
      <c r="C2114" s="112"/>
      <c r="D2114" s="83"/>
      <c r="E2114" s="83"/>
      <c r="F2114" s="83"/>
      <c r="G2114" s="31"/>
      <c r="H2114" s="31"/>
    </row>
    <row r="2115" spans="1:8">
      <c r="A2115" s="31"/>
      <c r="B2115" s="105"/>
      <c r="C2115" s="112"/>
      <c r="D2115" s="83"/>
      <c r="E2115" s="83"/>
      <c r="F2115" s="83"/>
      <c r="G2115" s="31"/>
      <c r="H2115" s="31"/>
    </row>
    <row r="2116" spans="1:8">
      <c r="A2116" s="31"/>
      <c r="B2116" s="105"/>
      <c r="C2116" s="112"/>
      <c r="D2116" s="83"/>
      <c r="E2116" s="83"/>
      <c r="F2116" s="83"/>
      <c r="G2116" s="31"/>
      <c r="H2116" s="31"/>
    </row>
    <row r="2117" spans="1:8">
      <c r="A2117" s="31"/>
      <c r="B2117" s="105"/>
      <c r="C2117" s="112"/>
      <c r="D2117" s="83"/>
      <c r="E2117" s="83"/>
      <c r="F2117" s="83"/>
      <c r="G2117" s="31"/>
      <c r="H2117" s="31"/>
    </row>
    <row r="2118" spans="1:8">
      <c r="A2118" s="31"/>
      <c r="B2118" s="105"/>
      <c r="C2118" s="112"/>
      <c r="D2118" s="83"/>
      <c r="E2118" s="83"/>
      <c r="F2118" s="83"/>
      <c r="G2118" s="31"/>
      <c r="H2118" s="31"/>
    </row>
    <row r="2119" spans="1:8">
      <c r="A2119" s="31"/>
      <c r="B2119" s="105"/>
      <c r="C2119" s="112"/>
      <c r="D2119" s="83"/>
      <c r="E2119" s="83"/>
      <c r="F2119" s="83"/>
      <c r="G2119" s="31"/>
      <c r="H2119" s="31"/>
    </row>
    <row r="2120" spans="1:8">
      <c r="A2120" s="31"/>
      <c r="B2120" s="105"/>
      <c r="C2120" s="112"/>
      <c r="D2120" s="83"/>
      <c r="E2120" s="83"/>
      <c r="F2120" s="83"/>
      <c r="G2120" s="31"/>
      <c r="H2120" s="31"/>
    </row>
    <row r="2121" spans="1:8">
      <c r="A2121" s="31"/>
      <c r="B2121" s="105"/>
      <c r="C2121" s="112"/>
      <c r="D2121" s="83"/>
      <c r="E2121" s="83"/>
      <c r="F2121" s="83"/>
      <c r="G2121" s="31"/>
      <c r="H2121" s="31"/>
    </row>
    <row r="2122" spans="1:8">
      <c r="A2122" s="31"/>
      <c r="B2122" s="105"/>
      <c r="C2122" s="112"/>
      <c r="D2122" s="83"/>
      <c r="E2122" s="83"/>
      <c r="F2122" s="83"/>
      <c r="G2122" s="31"/>
      <c r="H2122" s="31"/>
    </row>
    <row r="2123" spans="1:8">
      <c r="A2123" s="31"/>
      <c r="B2123" s="105"/>
      <c r="C2123" s="112"/>
      <c r="D2123" s="83"/>
      <c r="E2123" s="83"/>
      <c r="F2123" s="83"/>
      <c r="G2123" s="31"/>
      <c r="H2123" s="31"/>
    </row>
    <row r="2124" spans="1:8">
      <c r="A2124" s="31"/>
      <c r="B2124" s="105"/>
      <c r="C2124" s="112"/>
      <c r="D2124" s="83"/>
      <c r="E2124" s="83"/>
      <c r="F2124" s="83"/>
      <c r="G2124" s="31"/>
      <c r="H2124" s="31"/>
    </row>
    <row r="2125" spans="1:8">
      <c r="A2125" s="31"/>
      <c r="B2125" s="105"/>
      <c r="C2125" s="112"/>
      <c r="D2125" s="83"/>
      <c r="E2125" s="83"/>
      <c r="F2125" s="83"/>
      <c r="G2125" s="31"/>
      <c r="H2125" s="31"/>
    </row>
    <row r="2126" spans="1:8">
      <c r="A2126" s="31"/>
      <c r="B2126" s="105"/>
      <c r="C2126" s="112"/>
      <c r="D2126" s="83"/>
      <c r="E2126" s="83"/>
      <c r="F2126" s="83"/>
      <c r="G2126" s="31"/>
      <c r="H2126" s="31"/>
    </row>
    <row r="2127" spans="1:8">
      <c r="A2127" s="31"/>
      <c r="B2127" s="105"/>
      <c r="C2127" s="112"/>
      <c r="D2127" s="83"/>
      <c r="E2127" s="83"/>
      <c r="F2127" s="83"/>
      <c r="G2127" s="31"/>
      <c r="H2127" s="31"/>
    </row>
    <row r="2128" spans="1:8">
      <c r="A2128" s="31"/>
      <c r="B2128" s="105"/>
      <c r="C2128" s="112"/>
      <c r="D2128" s="83"/>
      <c r="E2128" s="83"/>
      <c r="F2128" s="83"/>
      <c r="G2128" s="31"/>
      <c r="H2128" s="31"/>
    </row>
    <row r="2129" spans="1:8">
      <c r="A2129" s="31"/>
      <c r="B2129" s="105"/>
      <c r="C2129" s="112"/>
      <c r="D2129" s="83"/>
      <c r="E2129" s="83"/>
      <c r="F2129" s="83"/>
      <c r="G2129" s="31"/>
      <c r="H2129" s="31"/>
    </row>
    <row r="2130" spans="1:8">
      <c r="A2130" s="31"/>
      <c r="B2130" s="105"/>
      <c r="C2130" s="112"/>
      <c r="D2130" s="83"/>
      <c r="E2130" s="83"/>
      <c r="F2130" s="83"/>
      <c r="G2130" s="31"/>
      <c r="H2130" s="31"/>
    </row>
    <row r="2131" spans="1:8">
      <c r="A2131" s="31"/>
      <c r="B2131" s="105"/>
      <c r="C2131" s="112"/>
      <c r="D2131" s="83"/>
      <c r="E2131" s="83"/>
      <c r="F2131" s="83"/>
      <c r="G2131" s="31"/>
      <c r="H2131" s="31"/>
    </row>
    <row r="2132" spans="1:8">
      <c r="A2132" s="31"/>
      <c r="B2132" s="105"/>
      <c r="C2132" s="112"/>
      <c r="D2132" s="83"/>
      <c r="E2132" s="83"/>
      <c r="F2132" s="83"/>
      <c r="G2132" s="31"/>
      <c r="H2132" s="31"/>
    </row>
    <row r="2133" spans="1:8">
      <c r="A2133" s="31"/>
      <c r="B2133" s="105"/>
      <c r="C2133" s="112"/>
      <c r="D2133" s="83"/>
      <c r="E2133" s="83"/>
      <c r="F2133" s="83"/>
      <c r="G2133" s="31"/>
      <c r="H2133" s="31"/>
    </row>
    <row r="2134" spans="1:8">
      <c r="A2134" s="31"/>
      <c r="B2134" s="105"/>
      <c r="C2134" s="112"/>
      <c r="D2134" s="83"/>
      <c r="E2134" s="83"/>
      <c r="F2134" s="83"/>
      <c r="G2134" s="31"/>
      <c r="H2134" s="31"/>
    </row>
    <row r="2135" spans="1:8">
      <c r="A2135" s="31"/>
      <c r="B2135" s="105"/>
      <c r="C2135" s="112"/>
      <c r="D2135" s="83"/>
      <c r="E2135" s="83"/>
      <c r="F2135" s="83"/>
      <c r="G2135" s="31"/>
      <c r="H2135" s="31"/>
    </row>
    <row r="2136" spans="1:8">
      <c r="A2136" s="31"/>
      <c r="B2136" s="105"/>
      <c r="C2136" s="112"/>
      <c r="D2136" s="83"/>
      <c r="E2136" s="83"/>
      <c r="F2136" s="83"/>
      <c r="G2136" s="31"/>
      <c r="H2136" s="31"/>
    </row>
    <row r="2137" spans="1:8">
      <c r="A2137" s="31"/>
      <c r="B2137" s="105"/>
      <c r="C2137" s="112"/>
      <c r="D2137" s="83"/>
      <c r="E2137" s="83"/>
      <c r="F2137" s="83"/>
      <c r="G2137" s="31"/>
      <c r="H2137" s="31"/>
    </row>
    <row r="2138" spans="1:8">
      <c r="A2138" s="31"/>
      <c r="B2138" s="105"/>
      <c r="C2138" s="112"/>
      <c r="D2138" s="83"/>
      <c r="E2138" s="83"/>
      <c r="F2138" s="83"/>
      <c r="G2138" s="31"/>
      <c r="H2138" s="31"/>
    </row>
    <row r="2139" spans="1:8">
      <c r="A2139" s="31"/>
      <c r="B2139" s="105"/>
      <c r="C2139" s="112"/>
      <c r="D2139" s="83"/>
      <c r="E2139" s="83"/>
      <c r="F2139" s="83"/>
      <c r="G2139" s="31"/>
      <c r="H2139" s="31"/>
    </row>
    <row r="2140" spans="1:8">
      <c r="A2140" s="31"/>
      <c r="B2140" s="105"/>
      <c r="C2140" s="112"/>
      <c r="D2140" s="83"/>
      <c r="E2140" s="83"/>
      <c r="F2140" s="83"/>
      <c r="G2140" s="31"/>
      <c r="H2140" s="31"/>
    </row>
    <row r="2141" spans="1:8">
      <c r="A2141" s="31"/>
      <c r="B2141" s="105"/>
      <c r="C2141" s="112"/>
      <c r="D2141" s="83"/>
      <c r="E2141" s="83"/>
      <c r="F2141" s="83"/>
      <c r="G2141" s="31"/>
      <c r="H2141" s="31"/>
    </row>
    <row r="2142" spans="1:8">
      <c r="A2142" s="31"/>
      <c r="D2142" s="83"/>
      <c r="E2142" s="83"/>
      <c r="F2142" s="83"/>
      <c r="G2142" s="31"/>
      <c r="H2142" s="31"/>
    </row>
    <row r="2143" spans="1:8">
      <c r="A2143" s="31"/>
      <c r="D2143" s="83"/>
      <c r="E2143" s="83"/>
      <c r="F2143" s="83"/>
      <c r="G2143" s="31"/>
      <c r="H2143" s="31"/>
    </row>
    <row r="2144" spans="1:8">
      <c r="A2144" s="31"/>
      <c r="D2144" s="83"/>
      <c r="E2144" s="83"/>
      <c r="F2144" s="83"/>
      <c r="G2144" s="31"/>
      <c r="H2144" s="31"/>
    </row>
    <row r="2145" spans="1:8">
      <c r="A2145" s="31"/>
      <c r="C2145" s="31"/>
      <c r="D2145" s="83"/>
      <c r="E2145" s="83"/>
      <c r="F2145" s="83"/>
      <c r="G2145" s="31"/>
      <c r="H2145" s="31"/>
    </row>
    <row r="2146" spans="1:8">
      <c r="A2146" s="31"/>
      <c r="C2146" s="31"/>
      <c r="D2146" s="83"/>
      <c r="E2146" s="83"/>
      <c r="F2146" s="83"/>
      <c r="G2146" s="31"/>
      <c r="H2146" s="31"/>
    </row>
    <row r="2147" spans="1:8">
      <c r="A2147" s="31"/>
      <c r="C2147" s="31"/>
      <c r="D2147" s="83"/>
      <c r="E2147" s="83"/>
      <c r="F2147" s="83"/>
      <c r="G2147" s="31"/>
      <c r="H2147" s="31"/>
    </row>
    <row r="2148" spans="1:8">
      <c r="A2148" s="31"/>
      <c r="C2148" s="31"/>
      <c r="D2148" s="83"/>
      <c r="E2148" s="83"/>
      <c r="F2148" s="83"/>
      <c r="G2148" s="31"/>
      <c r="H2148" s="31"/>
    </row>
    <row r="2149" spans="1:8">
      <c r="A2149" s="31"/>
      <c r="C2149" s="31"/>
      <c r="D2149" s="83"/>
      <c r="E2149" s="83"/>
      <c r="F2149" s="83"/>
      <c r="G2149" s="31"/>
      <c r="H2149" s="31"/>
    </row>
    <row r="2150" spans="1:8">
      <c r="A2150" s="31"/>
      <c r="C2150" s="31"/>
      <c r="D2150" s="83"/>
      <c r="E2150" s="83"/>
      <c r="F2150" s="83"/>
      <c r="G2150" s="31"/>
      <c r="H2150" s="31"/>
    </row>
    <row r="2151" spans="1:8">
      <c r="A2151" s="31"/>
      <c r="C2151" s="31"/>
      <c r="D2151" s="83"/>
      <c r="E2151" s="83"/>
      <c r="F2151" s="83"/>
      <c r="G2151" s="31"/>
      <c r="H2151" s="31"/>
    </row>
    <row r="2152" spans="1:8">
      <c r="A2152" s="31"/>
      <c r="C2152" s="31"/>
      <c r="D2152" s="83"/>
      <c r="E2152" s="83"/>
      <c r="F2152" s="83"/>
      <c r="G2152" s="31"/>
      <c r="H2152" s="31"/>
    </row>
    <row r="2153" spans="1:8">
      <c r="A2153" s="31"/>
      <c r="C2153" s="31"/>
      <c r="D2153" s="83"/>
      <c r="E2153" s="83"/>
      <c r="F2153" s="83"/>
      <c r="G2153" s="31"/>
      <c r="H2153" s="31"/>
    </row>
    <row r="2154" spans="1:8">
      <c r="A2154" s="31"/>
      <c r="C2154" s="31"/>
      <c r="D2154" s="83"/>
      <c r="E2154" s="83"/>
      <c r="F2154" s="83"/>
      <c r="G2154" s="31"/>
      <c r="H2154" s="31"/>
    </row>
    <row r="2155" spans="1:8">
      <c r="A2155" s="31"/>
      <c r="C2155" s="31"/>
      <c r="D2155" s="83"/>
      <c r="E2155" s="83"/>
      <c r="F2155" s="83"/>
      <c r="G2155" s="31"/>
      <c r="H2155" s="31"/>
    </row>
    <row r="2156" spans="1:8">
      <c r="A2156" s="31"/>
      <c r="C2156" s="31"/>
      <c r="D2156" s="83"/>
      <c r="E2156" s="83"/>
      <c r="F2156" s="83"/>
      <c r="G2156" s="31"/>
      <c r="H2156" s="31"/>
    </row>
    <row r="2157" spans="1:8">
      <c r="A2157" s="31"/>
      <c r="C2157" s="31"/>
      <c r="D2157" s="83"/>
      <c r="E2157" s="83"/>
      <c r="F2157" s="83"/>
      <c r="G2157" s="31"/>
      <c r="H2157" s="31"/>
    </row>
    <row r="2158" spans="1:8">
      <c r="A2158" s="31"/>
      <c r="C2158" s="31"/>
      <c r="D2158" s="83"/>
      <c r="E2158" s="83"/>
      <c r="F2158" s="83"/>
      <c r="G2158" s="31"/>
      <c r="H2158" s="31"/>
    </row>
    <row r="2159" spans="1:8">
      <c r="A2159" s="31"/>
      <c r="C2159" s="31"/>
      <c r="D2159" s="83"/>
      <c r="E2159" s="83"/>
      <c r="F2159" s="83"/>
      <c r="G2159" s="31"/>
      <c r="H2159" s="31"/>
    </row>
    <row r="2160" spans="1:8">
      <c r="A2160" s="31"/>
      <c r="C2160" s="31"/>
      <c r="D2160" s="83"/>
      <c r="E2160" s="83"/>
      <c r="F2160" s="83"/>
      <c r="G2160" s="31"/>
      <c r="H2160" s="31"/>
    </row>
    <row r="2161" spans="1:8">
      <c r="A2161" s="31"/>
      <c r="C2161" s="31"/>
      <c r="D2161" s="83"/>
      <c r="E2161" s="83"/>
      <c r="F2161" s="83"/>
      <c r="G2161" s="31"/>
      <c r="H2161" s="31"/>
    </row>
    <row r="2162" spans="1:8">
      <c r="A2162" s="31"/>
      <c r="C2162" s="31"/>
      <c r="D2162" s="83"/>
      <c r="E2162" s="83"/>
      <c r="F2162" s="83"/>
      <c r="G2162" s="31"/>
      <c r="H2162" s="31"/>
    </row>
    <row r="2163" spans="1:8">
      <c r="A2163" s="31"/>
      <c r="C2163" s="31"/>
      <c r="D2163" s="83"/>
      <c r="E2163" s="83"/>
      <c r="F2163" s="83"/>
      <c r="G2163" s="31"/>
      <c r="H2163" s="31"/>
    </row>
    <row r="2164" spans="1:8">
      <c r="A2164" s="31"/>
      <c r="C2164" s="31"/>
      <c r="D2164" s="83"/>
      <c r="E2164" s="83"/>
      <c r="F2164" s="83"/>
      <c r="G2164" s="31"/>
      <c r="H2164" s="31"/>
    </row>
    <row r="2165" spans="1:8">
      <c r="A2165" s="31"/>
      <c r="C2165" s="31"/>
      <c r="D2165" s="83"/>
      <c r="E2165" s="83"/>
      <c r="F2165" s="83"/>
      <c r="G2165" s="31"/>
      <c r="H2165" s="31"/>
    </row>
    <row r="2166" spans="1:8">
      <c r="A2166" s="31"/>
      <c r="C2166" s="31"/>
      <c r="D2166" s="83"/>
      <c r="E2166" s="83"/>
      <c r="F2166" s="83"/>
      <c r="G2166" s="31"/>
      <c r="H2166" s="31"/>
    </row>
    <row r="2167" spans="1:8">
      <c r="A2167" s="31"/>
      <c r="C2167" s="31"/>
      <c r="D2167" s="83"/>
      <c r="E2167" s="83"/>
      <c r="F2167" s="83"/>
      <c r="G2167" s="31"/>
      <c r="H2167" s="31"/>
    </row>
    <row r="2168" spans="1:8">
      <c r="A2168" s="31"/>
      <c r="C2168" s="31"/>
      <c r="D2168" s="83"/>
      <c r="E2168" s="83"/>
      <c r="F2168" s="83"/>
      <c r="G2168" s="31"/>
      <c r="H2168" s="31"/>
    </row>
    <row r="2169" spans="1:8">
      <c r="A2169" s="31"/>
      <c r="C2169" s="31"/>
      <c r="D2169" s="83"/>
      <c r="E2169" s="83"/>
      <c r="F2169" s="83"/>
      <c r="G2169" s="31"/>
      <c r="H2169" s="31"/>
    </row>
    <row r="2170" spans="1:8">
      <c r="A2170" s="31"/>
      <c r="C2170" s="31"/>
      <c r="D2170" s="83"/>
      <c r="E2170" s="83"/>
      <c r="F2170" s="83"/>
      <c r="G2170" s="31"/>
      <c r="H2170" s="31"/>
    </row>
    <row r="2171" spans="1:8">
      <c r="A2171" s="31"/>
      <c r="C2171" s="31"/>
      <c r="D2171" s="83"/>
      <c r="E2171" s="83"/>
      <c r="F2171" s="83"/>
      <c r="G2171" s="31"/>
      <c r="H2171" s="31"/>
    </row>
    <row r="2172" spans="1:8">
      <c r="A2172" s="31"/>
      <c r="C2172" s="31"/>
      <c r="D2172" s="83"/>
      <c r="E2172" s="83"/>
      <c r="F2172" s="83"/>
      <c r="G2172" s="31"/>
      <c r="H2172" s="31"/>
    </row>
    <row r="2173" spans="1:8">
      <c r="A2173" s="31"/>
      <c r="C2173" s="31"/>
      <c r="D2173" s="83"/>
      <c r="E2173" s="83"/>
      <c r="F2173" s="83"/>
      <c r="G2173" s="31"/>
      <c r="H2173" s="31"/>
    </row>
    <row r="2174" spans="1:8">
      <c r="A2174" s="31"/>
      <c r="C2174" s="31"/>
      <c r="D2174" s="83"/>
      <c r="E2174" s="83"/>
      <c r="F2174" s="83"/>
      <c r="G2174" s="31"/>
      <c r="H2174" s="31"/>
    </row>
    <row r="2175" spans="1:8">
      <c r="A2175" s="31"/>
      <c r="C2175" s="31"/>
      <c r="D2175" s="83"/>
      <c r="E2175" s="83"/>
      <c r="F2175" s="83"/>
      <c r="G2175" s="31"/>
      <c r="H2175" s="31"/>
    </row>
    <row r="2176" spans="1:8">
      <c r="A2176" s="31"/>
      <c r="C2176" s="31"/>
      <c r="D2176" s="83"/>
      <c r="E2176" s="83"/>
      <c r="F2176" s="83"/>
      <c r="G2176" s="31"/>
      <c r="H2176" s="31"/>
    </row>
    <row r="2177" spans="1:8">
      <c r="A2177" s="31"/>
      <c r="C2177" s="31"/>
      <c r="D2177" s="83"/>
      <c r="E2177" s="83"/>
      <c r="F2177" s="83"/>
      <c r="G2177" s="31"/>
      <c r="H2177" s="31"/>
    </row>
    <row r="2178" spans="1:8">
      <c r="A2178" s="31"/>
      <c r="C2178" s="31"/>
      <c r="D2178" s="83"/>
      <c r="E2178" s="83"/>
      <c r="F2178" s="83"/>
      <c r="G2178" s="31"/>
      <c r="H2178" s="31"/>
    </row>
    <row r="2179" spans="1:8">
      <c r="A2179" s="31"/>
      <c r="C2179" s="31"/>
      <c r="D2179" s="83"/>
      <c r="E2179" s="83"/>
      <c r="F2179" s="83"/>
      <c r="G2179" s="31"/>
      <c r="H2179" s="31"/>
    </row>
    <row r="2180" spans="1:8">
      <c r="A2180" s="31"/>
      <c r="C2180" s="31"/>
      <c r="D2180" s="83"/>
      <c r="E2180" s="83"/>
      <c r="F2180" s="83"/>
      <c r="G2180" s="31"/>
      <c r="H2180" s="31"/>
    </row>
    <row r="2181" spans="1:8">
      <c r="A2181" s="31"/>
      <c r="C2181" s="31"/>
      <c r="D2181" s="83"/>
      <c r="E2181" s="83"/>
      <c r="F2181" s="83"/>
      <c r="G2181" s="31"/>
      <c r="H2181" s="31"/>
    </row>
    <row r="2182" spans="1:8">
      <c r="A2182" s="31"/>
      <c r="C2182" s="31"/>
      <c r="D2182" s="83"/>
      <c r="E2182" s="83"/>
      <c r="F2182" s="83"/>
      <c r="G2182" s="31"/>
      <c r="H2182" s="31"/>
    </row>
    <row r="2183" spans="1:8">
      <c r="A2183" s="31"/>
      <c r="C2183" s="31"/>
      <c r="D2183" s="83"/>
      <c r="E2183" s="83"/>
      <c r="F2183" s="83"/>
      <c r="G2183" s="31"/>
      <c r="H2183" s="31"/>
    </row>
    <row r="2184" spans="1:8">
      <c r="A2184" s="31"/>
      <c r="C2184" s="31"/>
      <c r="D2184" s="83"/>
      <c r="E2184" s="83"/>
      <c r="F2184" s="83"/>
      <c r="G2184" s="31"/>
      <c r="H2184" s="31"/>
    </row>
    <row r="2185" spans="1:8">
      <c r="A2185" s="31"/>
      <c r="C2185" s="31"/>
      <c r="D2185" s="83"/>
      <c r="E2185" s="83"/>
      <c r="F2185" s="83"/>
      <c r="G2185" s="31"/>
      <c r="H2185" s="31"/>
    </row>
    <row r="2186" spans="1:8">
      <c r="A2186" s="31"/>
      <c r="C2186" s="31"/>
      <c r="D2186" s="83"/>
      <c r="E2186" s="83"/>
      <c r="F2186" s="83"/>
      <c r="G2186" s="31"/>
      <c r="H2186" s="31"/>
    </row>
    <row r="2187" spans="1:8">
      <c r="A2187" s="31"/>
      <c r="C2187" s="31"/>
      <c r="D2187" s="83"/>
      <c r="E2187" s="83"/>
      <c r="F2187" s="83"/>
      <c r="G2187" s="31"/>
      <c r="H2187" s="31"/>
    </row>
    <row r="2188" spans="1:8">
      <c r="A2188" s="31"/>
      <c r="C2188" s="31"/>
      <c r="D2188" s="83"/>
      <c r="E2188" s="83"/>
      <c r="F2188" s="83"/>
      <c r="G2188" s="31"/>
      <c r="H2188" s="31"/>
    </row>
    <row r="2189" spans="1:8">
      <c r="A2189" s="31"/>
      <c r="C2189" s="31"/>
      <c r="D2189" s="83"/>
      <c r="E2189" s="83"/>
      <c r="F2189" s="83"/>
      <c r="G2189" s="31"/>
      <c r="H2189" s="31"/>
    </row>
    <row r="2190" spans="1:8">
      <c r="A2190" s="31"/>
      <c r="C2190" s="31"/>
      <c r="D2190" s="83"/>
      <c r="E2190" s="83"/>
      <c r="F2190" s="83"/>
      <c r="G2190" s="31"/>
      <c r="H2190" s="31"/>
    </row>
    <row r="2191" spans="1:8">
      <c r="A2191" s="31"/>
      <c r="C2191" s="31"/>
      <c r="D2191" s="83"/>
      <c r="E2191" s="83"/>
      <c r="F2191" s="83"/>
      <c r="G2191" s="31"/>
      <c r="H2191" s="31"/>
    </row>
    <row r="2192" spans="1:8">
      <c r="A2192" s="31"/>
      <c r="C2192" s="31"/>
      <c r="D2192" s="83"/>
      <c r="E2192" s="83"/>
      <c r="F2192" s="83"/>
      <c r="G2192" s="31"/>
      <c r="H2192" s="31"/>
    </row>
    <row r="2193" spans="1:8">
      <c r="A2193" s="31"/>
      <c r="C2193" s="31"/>
      <c r="D2193" s="83"/>
      <c r="E2193" s="83"/>
      <c r="F2193" s="83"/>
      <c r="G2193" s="31"/>
      <c r="H2193" s="31"/>
    </row>
    <row r="2194" spans="1:8">
      <c r="A2194" s="31"/>
      <c r="C2194" s="31"/>
      <c r="D2194" s="83"/>
      <c r="E2194" s="83"/>
      <c r="F2194" s="83"/>
      <c r="G2194" s="31"/>
      <c r="H2194" s="31"/>
    </row>
    <row r="2195" spans="1:8">
      <c r="A2195" s="31"/>
      <c r="C2195" s="31"/>
      <c r="D2195" s="83"/>
      <c r="E2195" s="83"/>
      <c r="F2195" s="83"/>
      <c r="G2195" s="31"/>
      <c r="H2195" s="31"/>
    </row>
    <row r="2196" spans="1:8">
      <c r="A2196" s="31"/>
      <c r="C2196" s="31"/>
      <c r="D2196" s="83"/>
      <c r="E2196" s="83"/>
      <c r="F2196" s="83"/>
      <c r="G2196" s="31"/>
      <c r="H2196" s="31"/>
    </row>
    <row r="2197" spans="1:8">
      <c r="A2197" s="31"/>
      <c r="C2197" s="31"/>
      <c r="D2197" s="83"/>
      <c r="E2197" s="83"/>
      <c r="F2197" s="83"/>
      <c r="G2197" s="31"/>
      <c r="H2197" s="31"/>
    </row>
    <row r="2198" spans="1:8">
      <c r="A2198" s="31"/>
      <c r="C2198" s="31"/>
      <c r="D2198" s="83"/>
      <c r="E2198" s="83"/>
      <c r="F2198" s="83"/>
      <c r="G2198" s="31"/>
      <c r="H2198" s="31"/>
    </row>
    <row r="2199" spans="1:8">
      <c r="A2199" s="31"/>
      <c r="C2199" s="31"/>
      <c r="D2199" s="83"/>
      <c r="E2199" s="83"/>
      <c r="F2199" s="83"/>
      <c r="G2199" s="31"/>
      <c r="H2199" s="31"/>
    </row>
    <row r="2200" spans="1:8">
      <c r="A2200" s="31"/>
      <c r="C2200" s="31"/>
      <c r="D2200" s="83"/>
      <c r="E2200" s="83"/>
      <c r="F2200" s="83"/>
      <c r="G2200" s="31"/>
      <c r="H2200" s="31"/>
    </row>
    <row r="2201" spans="1:8">
      <c r="A2201" s="31"/>
      <c r="C2201" s="31"/>
      <c r="D2201" s="83"/>
      <c r="E2201" s="83"/>
      <c r="F2201" s="83"/>
      <c r="G2201" s="31"/>
      <c r="H2201" s="31"/>
    </row>
    <row r="2202" spans="1:8">
      <c r="A2202" s="31"/>
      <c r="C2202" s="31"/>
      <c r="D2202" s="83"/>
      <c r="E2202" s="83"/>
      <c r="F2202" s="83"/>
      <c r="G2202" s="31"/>
      <c r="H2202" s="31"/>
    </row>
    <row r="2203" spans="1:8">
      <c r="A2203" s="31"/>
      <c r="C2203" s="31"/>
      <c r="D2203" s="83"/>
      <c r="E2203" s="83"/>
      <c r="F2203" s="83"/>
      <c r="G2203" s="31"/>
      <c r="H2203" s="31"/>
    </row>
    <row r="2204" spans="1:8">
      <c r="A2204" s="31"/>
      <c r="C2204" s="31"/>
      <c r="D2204" s="83"/>
      <c r="E2204" s="83"/>
      <c r="F2204" s="83"/>
      <c r="G2204" s="31"/>
      <c r="H2204" s="31"/>
    </row>
    <row r="2205" spans="1:8">
      <c r="A2205" s="31"/>
      <c r="C2205" s="31"/>
      <c r="D2205" s="83"/>
      <c r="E2205" s="83"/>
      <c r="F2205" s="83"/>
      <c r="G2205" s="31"/>
      <c r="H2205" s="31"/>
    </row>
    <row r="2206" spans="1:8">
      <c r="A2206" s="31"/>
      <c r="C2206" s="31"/>
      <c r="D2206" s="83"/>
      <c r="E2206" s="83"/>
      <c r="F2206" s="83"/>
      <c r="G2206" s="31"/>
      <c r="H2206" s="31"/>
    </row>
    <row r="2207" spans="1:8">
      <c r="A2207" s="31"/>
      <c r="C2207" s="31"/>
      <c r="D2207" s="83"/>
      <c r="E2207" s="83"/>
      <c r="F2207" s="83"/>
      <c r="G2207" s="31"/>
      <c r="H2207" s="31"/>
    </row>
    <row r="2208" spans="1:8">
      <c r="A2208" s="31"/>
      <c r="C2208" s="31"/>
      <c r="D2208" s="83"/>
      <c r="E2208" s="83"/>
      <c r="F2208" s="83"/>
      <c r="G2208" s="31"/>
      <c r="H2208" s="31"/>
    </row>
    <row r="2209" spans="1:8">
      <c r="A2209" s="31"/>
      <c r="C2209" s="31"/>
      <c r="D2209" s="83"/>
      <c r="E2209" s="83"/>
      <c r="F2209" s="83"/>
      <c r="G2209" s="31"/>
      <c r="H2209" s="31"/>
    </row>
    <row r="2210" spans="1:8">
      <c r="A2210" s="31"/>
      <c r="C2210" s="31"/>
      <c r="D2210" s="83"/>
      <c r="E2210" s="83"/>
      <c r="F2210" s="83"/>
      <c r="G2210" s="31"/>
      <c r="H2210" s="31"/>
    </row>
    <row r="2211" spans="1:8">
      <c r="A2211" s="31"/>
      <c r="C2211" s="31"/>
      <c r="D2211" s="83"/>
      <c r="E2211" s="83"/>
      <c r="F2211" s="83"/>
      <c r="G2211" s="31"/>
      <c r="H2211" s="31"/>
    </row>
    <row r="2212" spans="1:8">
      <c r="A2212" s="31"/>
      <c r="C2212" s="31"/>
      <c r="D2212" s="83"/>
      <c r="E2212" s="83"/>
      <c r="F2212" s="83"/>
      <c r="G2212" s="31"/>
      <c r="H2212" s="31"/>
    </row>
    <row r="2213" spans="1:8">
      <c r="A2213" s="31"/>
      <c r="C2213" s="31"/>
      <c r="D2213" s="83"/>
      <c r="E2213" s="83"/>
      <c r="F2213" s="83"/>
      <c r="G2213" s="31"/>
      <c r="H2213" s="31"/>
    </row>
    <row r="2214" spans="1:8">
      <c r="A2214" s="31"/>
      <c r="C2214" s="31"/>
      <c r="D2214" s="83"/>
      <c r="E2214" s="83"/>
      <c r="F2214" s="83"/>
      <c r="G2214" s="31"/>
      <c r="H2214" s="31"/>
    </row>
    <row r="2215" spans="1:8">
      <c r="A2215" s="31"/>
      <c r="C2215" s="31"/>
      <c r="D2215" s="83"/>
      <c r="E2215" s="83"/>
      <c r="F2215" s="83"/>
      <c r="G2215" s="31"/>
      <c r="H2215" s="31"/>
    </row>
    <row r="2216" spans="1:8">
      <c r="A2216" s="31"/>
      <c r="C2216" s="31"/>
      <c r="D2216" s="83"/>
      <c r="E2216" s="83"/>
      <c r="F2216" s="83"/>
      <c r="G2216" s="31"/>
      <c r="H2216" s="31"/>
    </row>
    <row r="2217" spans="1:8">
      <c r="A2217" s="31"/>
      <c r="C2217" s="31"/>
      <c r="D2217" s="83"/>
      <c r="E2217" s="83"/>
      <c r="F2217" s="83"/>
      <c r="G2217" s="31"/>
      <c r="H2217" s="31"/>
    </row>
    <row r="2218" spans="1:8">
      <c r="A2218" s="31"/>
      <c r="C2218" s="31"/>
      <c r="D2218" s="83"/>
      <c r="E2218" s="83"/>
      <c r="F2218" s="83"/>
      <c r="G2218" s="31"/>
      <c r="H2218" s="31"/>
    </row>
    <row r="2219" spans="1:8">
      <c r="A2219" s="31"/>
      <c r="C2219" s="31"/>
      <c r="D2219" s="83"/>
      <c r="E2219" s="83"/>
      <c r="F2219" s="83"/>
      <c r="G2219" s="31"/>
      <c r="H2219" s="31"/>
    </row>
    <row r="2220" spans="1:8">
      <c r="A2220" s="31"/>
      <c r="C2220" s="31"/>
      <c r="D2220" s="83"/>
      <c r="E2220" s="83"/>
      <c r="F2220" s="83"/>
      <c r="G2220" s="31"/>
      <c r="H2220" s="31"/>
    </row>
    <row r="2221" spans="1:8">
      <c r="A2221" s="31"/>
      <c r="C2221" s="31"/>
      <c r="D2221" s="83"/>
      <c r="E2221" s="83"/>
      <c r="F2221" s="83"/>
      <c r="G2221" s="31"/>
      <c r="H2221" s="31"/>
    </row>
    <row r="2222" spans="1:8">
      <c r="A2222" s="31"/>
      <c r="C2222" s="31"/>
      <c r="D2222" s="83"/>
      <c r="E2222" s="83"/>
      <c r="F2222" s="83"/>
      <c r="G2222" s="31"/>
      <c r="H2222" s="31"/>
    </row>
    <row r="2223" spans="1:8">
      <c r="A2223" s="31"/>
      <c r="C2223" s="31"/>
      <c r="D2223" s="83"/>
      <c r="E2223" s="83"/>
      <c r="F2223" s="83"/>
      <c r="G2223" s="31"/>
      <c r="H2223" s="31"/>
    </row>
    <row r="2224" spans="1:8">
      <c r="A2224" s="31"/>
      <c r="C2224" s="31"/>
      <c r="D2224" s="83"/>
      <c r="E2224" s="83"/>
      <c r="F2224" s="83"/>
      <c r="G2224" s="31"/>
      <c r="H2224" s="31"/>
    </row>
    <row r="2225" spans="1:8">
      <c r="A2225" s="31"/>
      <c r="C2225" s="31"/>
      <c r="D2225" s="83"/>
      <c r="E2225" s="83"/>
      <c r="F2225" s="83"/>
      <c r="G2225" s="31"/>
      <c r="H2225" s="31"/>
    </row>
    <row r="2226" spans="1:8">
      <c r="A2226" s="31"/>
      <c r="C2226" s="31"/>
      <c r="D2226" s="83"/>
      <c r="E2226" s="83"/>
      <c r="F2226" s="83"/>
      <c r="G2226" s="31"/>
      <c r="H2226" s="31"/>
    </row>
    <row r="2227" spans="1:8">
      <c r="A2227" s="31"/>
      <c r="C2227" s="31"/>
      <c r="D2227" s="83"/>
      <c r="E2227" s="83"/>
      <c r="F2227" s="83"/>
      <c r="G2227" s="31"/>
      <c r="H2227" s="31"/>
    </row>
    <row r="2228" spans="1:8">
      <c r="A2228" s="31"/>
      <c r="C2228" s="31"/>
      <c r="D2228" s="83"/>
      <c r="E2228" s="83"/>
      <c r="F2228" s="83"/>
      <c r="G2228" s="31"/>
      <c r="H2228" s="31"/>
    </row>
    <row r="2229" spans="1:8">
      <c r="A2229" s="31"/>
      <c r="C2229" s="31"/>
      <c r="D2229" s="83"/>
      <c r="E2229" s="83"/>
      <c r="F2229" s="83"/>
      <c r="G2229" s="31"/>
      <c r="H2229" s="31"/>
    </row>
    <row r="2230" spans="1:8">
      <c r="A2230" s="31"/>
      <c r="C2230" s="31"/>
      <c r="D2230" s="83"/>
      <c r="E2230" s="83"/>
      <c r="F2230" s="83"/>
      <c r="G2230" s="31"/>
      <c r="H2230" s="31"/>
    </row>
    <row r="2231" spans="1:8">
      <c r="A2231" s="31"/>
      <c r="C2231" s="31"/>
      <c r="D2231" s="83"/>
      <c r="E2231" s="83"/>
      <c r="F2231" s="83"/>
      <c r="G2231" s="31"/>
      <c r="H2231" s="31"/>
    </row>
    <row r="2232" spans="1:8">
      <c r="A2232" s="31"/>
      <c r="C2232" s="31"/>
      <c r="D2232" s="83"/>
      <c r="E2232" s="83"/>
      <c r="F2232" s="83"/>
      <c r="G2232" s="31"/>
      <c r="H2232" s="31"/>
    </row>
    <row r="2233" spans="1:8">
      <c r="A2233" s="31"/>
      <c r="C2233" s="31"/>
      <c r="D2233" s="83"/>
      <c r="E2233" s="83"/>
      <c r="F2233" s="83"/>
      <c r="G2233" s="31"/>
      <c r="H2233" s="31"/>
    </row>
    <row r="2234" spans="1:8">
      <c r="A2234" s="31"/>
      <c r="C2234" s="31"/>
      <c r="D2234" s="83"/>
      <c r="E2234" s="83"/>
      <c r="F2234" s="83"/>
      <c r="G2234" s="31"/>
      <c r="H2234" s="31"/>
    </row>
    <row r="2235" spans="1:8">
      <c r="A2235" s="31"/>
      <c r="C2235" s="31"/>
      <c r="D2235" s="83"/>
      <c r="E2235" s="83"/>
      <c r="F2235" s="83"/>
      <c r="G2235" s="31"/>
      <c r="H2235" s="31"/>
    </row>
    <row r="2236" spans="1:8">
      <c r="A2236" s="31"/>
      <c r="C2236" s="31"/>
      <c r="D2236" s="83"/>
      <c r="E2236" s="83"/>
      <c r="F2236" s="83"/>
      <c r="G2236" s="31"/>
      <c r="H2236" s="31"/>
    </row>
    <row r="2237" spans="1:8">
      <c r="A2237" s="31"/>
      <c r="C2237" s="31"/>
      <c r="D2237" s="83"/>
      <c r="E2237" s="83"/>
      <c r="F2237" s="83"/>
      <c r="G2237" s="31"/>
      <c r="H2237" s="31"/>
    </row>
    <row r="2238" spans="1:8">
      <c r="A2238" s="31"/>
      <c r="C2238" s="31"/>
      <c r="D2238" s="83"/>
      <c r="E2238" s="83"/>
      <c r="F2238" s="83"/>
      <c r="G2238" s="31"/>
      <c r="H2238" s="31"/>
    </row>
    <row r="2239" spans="1:8">
      <c r="A2239" s="31"/>
      <c r="C2239" s="31"/>
      <c r="D2239" s="83"/>
      <c r="E2239" s="83"/>
      <c r="F2239" s="83"/>
      <c r="G2239" s="31"/>
      <c r="H2239" s="31"/>
    </row>
    <row r="2240" spans="1:8">
      <c r="A2240" s="31"/>
      <c r="C2240" s="31"/>
      <c r="D2240" s="83"/>
      <c r="E2240" s="83"/>
      <c r="F2240" s="83"/>
      <c r="G2240" s="31"/>
      <c r="H2240" s="31"/>
    </row>
    <row r="2241" spans="1:8">
      <c r="A2241" s="31"/>
      <c r="C2241" s="31"/>
      <c r="D2241" s="83"/>
      <c r="E2241" s="83"/>
      <c r="F2241" s="83"/>
      <c r="G2241" s="31"/>
      <c r="H2241" s="31"/>
    </row>
    <row r="2242" spans="1:8">
      <c r="A2242" s="31"/>
      <c r="C2242" s="31"/>
      <c r="D2242" s="83"/>
      <c r="E2242" s="83"/>
      <c r="F2242" s="83"/>
      <c r="G2242" s="31"/>
      <c r="H2242" s="31"/>
    </row>
    <row r="2243" spans="1:8">
      <c r="A2243" s="31"/>
      <c r="C2243" s="31"/>
      <c r="D2243" s="83"/>
      <c r="E2243" s="83"/>
      <c r="F2243" s="83"/>
      <c r="G2243" s="31"/>
      <c r="H2243" s="31"/>
    </row>
    <row r="2244" spans="1:8">
      <c r="A2244" s="31"/>
      <c r="C2244" s="31"/>
      <c r="D2244" s="83"/>
      <c r="E2244" s="83"/>
      <c r="F2244" s="83"/>
      <c r="G2244" s="31"/>
      <c r="H2244" s="31"/>
    </row>
    <row r="2245" spans="1:8">
      <c r="A2245" s="31"/>
      <c r="C2245" s="31"/>
      <c r="D2245" s="83"/>
      <c r="E2245" s="83"/>
      <c r="F2245" s="83"/>
      <c r="G2245" s="31"/>
      <c r="H2245" s="31"/>
    </row>
    <row r="2246" spans="1:8">
      <c r="A2246" s="31"/>
      <c r="C2246" s="31"/>
      <c r="D2246" s="83"/>
      <c r="E2246" s="83"/>
      <c r="F2246" s="83"/>
      <c r="G2246" s="31"/>
      <c r="H2246" s="31"/>
    </row>
    <row r="2247" spans="1:8">
      <c r="A2247" s="31"/>
      <c r="C2247" s="31"/>
      <c r="D2247" s="83"/>
      <c r="E2247" s="83"/>
      <c r="F2247" s="83"/>
      <c r="G2247" s="31"/>
      <c r="H2247" s="31"/>
    </row>
    <row r="2248" spans="1:8">
      <c r="A2248" s="31"/>
      <c r="C2248" s="31"/>
      <c r="D2248" s="83"/>
      <c r="E2248" s="83"/>
      <c r="F2248" s="83"/>
      <c r="G2248" s="31"/>
      <c r="H2248" s="31"/>
    </row>
    <row r="2249" spans="1:8">
      <c r="A2249" s="31"/>
      <c r="C2249" s="31"/>
      <c r="D2249" s="83"/>
      <c r="E2249" s="83"/>
      <c r="F2249" s="83"/>
      <c r="G2249" s="31"/>
      <c r="H2249" s="31"/>
    </row>
    <row r="2250" spans="1:8">
      <c r="A2250" s="31"/>
      <c r="C2250" s="31"/>
      <c r="D2250" s="83"/>
      <c r="E2250" s="83"/>
      <c r="F2250" s="83"/>
      <c r="G2250" s="31"/>
      <c r="H2250" s="31"/>
    </row>
    <row r="2251" spans="1:8">
      <c r="A2251" s="31"/>
      <c r="C2251" s="31"/>
      <c r="D2251" s="83"/>
      <c r="E2251" s="83"/>
      <c r="F2251" s="83"/>
      <c r="G2251" s="31"/>
      <c r="H2251" s="31"/>
    </row>
    <row r="2252" spans="1:8">
      <c r="A2252" s="31"/>
      <c r="C2252" s="31"/>
      <c r="D2252" s="83"/>
      <c r="E2252" s="83"/>
      <c r="F2252" s="83"/>
      <c r="G2252" s="31"/>
      <c r="H2252" s="31"/>
    </row>
    <row r="2253" spans="1:8">
      <c r="A2253" s="31"/>
      <c r="C2253" s="31"/>
      <c r="D2253" s="83"/>
      <c r="E2253" s="83"/>
      <c r="F2253" s="83"/>
      <c r="G2253" s="31"/>
      <c r="H2253" s="31"/>
    </row>
    <row r="2254" spans="1:8">
      <c r="A2254" s="31"/>
      <c r="C2254" s="31"/>
      <c r="D2254" s="83"/>
      <c r="E2254" s="83"/>
      <c r="F2254" s="83"/>
      <c r="G2254" s="31"/>
      <c r="H2254" s="31"/>
    </row>
    <row r="2255" spans="1:8">
      <c r="A2255" s="31"/>
      <c r="C2255" s="31"/>
      <c r="D2255" s="83"/>
      <c r="E2255" s="83"/>
      <c r="F2255" s="83"/>
      <c r="G2255" s="31"/>
      <c r="H2255" s="31"/>
    </row>
    <row r="2256" spans="1:8">
      <c r="A2256" s="31"/>
      <c r="C2256" s="31"/>
      <c r="D2256" s="83"/>
      <c r="E2256" s="83"/>
      <c r="F2256" s="83"/>
      <c r="G2256" s="31"/>
      <c r="H2256" s="31"/>
    </row>
    <row r="2257" spans="1:8">
      <c r="A2257" s="31"/>
      <c r="C2257" s="31"/>
      <c r="D2257" s="83"/>
      <c r="E2257" s="83"/>
      <c r="F2257" s="83"/>
      <c r="G2257" s="31"/>
      <c r="H2257" s="31"/>
    </row>
    <row r="2258" spans="1:8">
      <c r="A2258" s="31"/>
      <c r="C2258" s="31"/>
      <c r="D2258" s="83"/>
      <c r="E2258" s="83"/>
      <c r="F2258" s="83"/>
      <c r="G2258" s="31"/>
      <c r="H2258" s="31"/>
    </row>
    <row r="2259" spans="1:8">
      <c r="A2259" s="31"/>
      <c r="C2259" s="31"/>
      <c r="D2259" s="83"/>
      <c r="E2259" s="83"/>
      <c r="F2259" s="83"/>
      <c r="G2259" s="31"/>
      <c r="H2259" s="31"/>
    </row>
    <row r="2260" spans="1:8">
      <c r="A2260" s="31"/>
      <c r="C2260" s="31"/>
      <c r="D2260" s="83"/>
      <c r="E2260" s="83"/>
      <c r="F2260" s="83"/>
      <c r="G2260" s="31"/>
      <c r="H2260" s="31"/>
    </row>
    <row r="2261" spans="1:8">
      <c r="A2261" s="31"/>
      <c r="C2261" s="31"/>
      <c r="D2261" s="83"/>
      <c r="E2261" s="83"/>
      <c r="F2261" s="83"/>
      <c r="G2261" s="31"/>
      <c r="H2261" s="31"/>
    </row>
    <row r="2262" spans="1:8">
      <c r="A2262" s="31"/>
      <c r="C2262" s="31"/>
      <c r="D2262" s="83"/>
      <c r="E2262" s="83"/>
      <c r="F2262" s="83"/>
      <c r="G2262" s="31"/>
      <c r="H2262" s="31"/>
    </row>
    <row r="2263" spans="1:8">
      <c r="A2263" s="31"/>
      <c r="C2263" s="31"/>
      <c r="D2263" s="83"/>
      <c r="E2263" s="83"/>
      <c r="F2263" s="83"/>
      <c r="G2263" s="31"/>
      <c r="H2263" s="31"/>
    </row>
    <row r="2264" spans="1:8">
      <c r="A2264" s="31"/>
      <c r="C2264" s="31"/>
      <c r="D2264" s="83"/>
      <c r="E2264" s="83"/>
      <c r="F2264" s="83"/>
      <c r="G2264" s="31"/>
      <c r="H2264" s="31"/>
    </row>
    <row r="2265" spans="1:8">
      <c r="A2265" s="31"/>
      <c r="C2265" s="31"/>
      <c r="D2265" s="83"/>
      <c r="E2265" s="83"/>
      <c r="F2265" s="83"/>
      <c r="G2265" s="31"/>
      <c r="H2265" s="31"/>
    </row>
    <row r="2266" spans="1:8">
      <c r="A2266" s="31"/>
      <c r="C2266" s="31"/>
      <c r="D2266" s="83"/>
      <c r="E2266" s="83"/>
      <c r="F2266" s="83"/>
      <c r="G2266" s="31"/>
      <c r="H2266" s="31"/>
    </row>
    <row r="2267" spans="1:8">
      <c r="A2267" s="31"/>
      <c r="C2267" s="31"/>
      <c r="D2267" s="83"/>
      <c r="E2267" s="83"/>
      <c r="F2267" s="83"/>
      <c r="G2267" s="31"/>
      <c r="H2267" s="31"/>
    </row>
    <row r="2268" spans="1:8">
      <c r="A2268" s="31"/>
      <c r="C2268" s="31"/>
      <c r="D2268" s="83"/>
      <c r="E2268" s="83"/>
      <c r="F2268" s="83"/>
      <c r="G2268" s="31"/>
      <c r="H2268" s="31"/>
    </row>
    <row r="2269" spans="1:8">
      <c r="A2269" s="31"/>
      <c r="C2269" s="31"/>
      <c r="D2269" s="83"/>
      <c r="E2269" s="83"/>
      <c r="F2269" s="83"/>
      <c r="G2269" s="31"/>
      <c r="H2269" s="31"/>
    </row>
    <row r="2270" spans="1:8">
      <c r="A2270" s="31"/>
      <c r="C2270" s="31"/>
      <c r="D2270" s="83"/>
      <c r="E2270" s="83"/>
      <c r="F2270" s="83"/>
      <c r="G2270" s="31"/>
      <c r="H2270" s="31"/>
    </row>
    <row r="2271" spans="1:8">
      <c r="A2271" s="31"/>
      <c r="C2271" s="31"/>
      <c r="D2271" s="83"/>
      <c r="E2271" s="83"/>
      <c r="F2271" s="83"/>
      <c r="G2271" s="31"/>
      <c r="H2271" s="31"/>
    </row>
    <row r="2272" spans="1:8">
      <c r="A2272" s="31"/>
      <c r="C2272" s="31"/>
      <c r="D2272" s="83"/>
      <c r="E2272" s="83"/>
      <c r="F2272" s="83"/>
      <c r="G2272" s="31"/>
      <c r="H2272" s="31"/>
    </row>
    <row r="2273" spans="1:8">
      <c r="A2273" s="31"/>
      <c r="C2273" s="31"/>
      <c r="D2273" s="83"/>
      <c r="E2273" s="83"/>
      <c r="F2273" s="83"/>
      <c r="G2273" s="31"/>
      <c r="H2273" s="31"/>
    </row>
    <row r="2274" spans="1:8">
      <c r="A2274" s="31"/>
      <c r="C2274" s="31"/>
      <c r="D2274" s="83"/>
      <c r="E2274" s="83"/>
      <c r="F2274" s="83"/>
      <c r="G2274" s="31"/>
      <c r="H2274" s="31"/>
    </row>
    <row r="2275" spans="1:8">
      <c r="A2275" s="31"/>
      <c r="C2275" s="31"/>
      <c r="D2275" s="83"/>
      <c r="E2275" s="83"/>
      <c r="F2275" s="83"/>
      <c r="G2275" s="31"/>
      <c r="H2275" s="31"/>
    </row>
    <row r="2276" spans="1:8">
      <c r="A2276" s="31"/>
      <c r="C2276" s="31"/>
      <c r="D2276" s="83"/>
      <c r="E2276" s="83"/>
      <c r="F2276" s="83"/>
      <c r="G2276" s="31"/>
      <c r="H2276" s="31"/>
    </row>
    <row r="2277" spans="1:8">
      <c r="A2277" s="31"/>
      <c r="C2277" s="31"/>
      <c r="D2277" s="83"/>
      <c r="E2277" s="83"/>
      <c r="F2277" s="83"/>
      <c r="G2277" s="31"/>
      <c r="H2277" s="31"/>
    </row>
    <row r="2278" spans="1:8">
      <c r="A2278" s="31"/>
      <c r="C2278" s="31"/>
      <c r="D2278" s="83"/>
      <c r="E2278" s="83"/>
      <c r="F2278" s="83"/>
      <c r="G2278" s="31"/>
      <c r="H2278" s="31"/>
    </row>
    <row r="2279" spans="1:8">
      <c r="A2279" s="31"/>
      <c r="C2279" s="31"/>
      <c r="D2279" s="83"/>
      <c r="E2279" s="83"/>
      <c r="F2279" s="83"/>
      <c r="G2279" s="31"/>
      <c r="H2279" s="31"/>
    </row>
    <row r="2280" spans="1:8">
      <c r="A2280" s="31"/>
      <c r="C2280" s="31"/>
      <c r="D2280" s="83"/>
      <c r="E2280" s="83"/>
      <c r="F2280" s="83"/>
      <c r="G2280" s="31"/>
      <c r="H2280" s="31"/>
    </row>
    <row r="2281" spans="1:8">
      <c r="A2281" s="31"/>
      <c r="C2281" s="31"/>
      <c r="D2281" s="83"/>
      <c r="E2281" s="83"/>
      <c r="F2281" s="83"/>
      <c r="G2281" s="31"/>
      <c r="H2281" s="31"/>
    </row>
    <row r="2282" spans="1:8">
      <c r="A2282" s="31"/>
      <c r="C2282" s="31"/>
      <c r="D2282" s="83"/>
      <c r="E2282" s="83"/>
      <c r="F2282" s="83"/>
      <c r="G2282" s="31"/>
      <c r="H2282" s="31"/>
    </row>
    <row r="2283" spans="1:8">
      <c r="A2283" s="31"/>
      <c r="C2283" s="31"/>
      <c r="D2283" s="83"/>
      <c r="E2283" s="83"/>
      <c r="F2283" s="83"/>
      <c r="G2283" s="31"/>
      <c r="H2283" s="31"/>
    </row>
    <row r="2284" spans="1:8">
      <c r="A2284" s="31"/>
      <c r="C2284" s="31"/>
      <c r="D2284" s="83"/>
      <c r="E2284" s="83"/>
      <c r="F2284" s="83"/>
      <c r="G2284" s="31"/>
      <c r="H2284" s="31"/>
    </row>
    <row r="2285" spans="1:8">
      <c r="A2285" s="31"/>
      <c r="C2285" s="31"/>
      <c r="D2285" s="83"/>
      <c r="E2285" s="83"/>
      <c r="F2285" s="83"/>
      <c r="G2285" s="31"/>
      <c r="H2285" s="31"/>
    </row>
    <row r="2286" spans="1:8">
      <c r="A2286" s="31"/>
      <c r="C2286" s="31"/>
      <c r="D2286" s="83"/>
      <c r="E2286" s="83"/>
      <c r="F2286" s="83"/>
      <c r="G2286" s="31"/>
      <c r="H2286" s="31"/>
    </row>
    <row r="2287" spans="1:8">
      <c r="A2287" s="31"/>
      <c r="C2287" s="31"/>
      <c r="D2287" s="83"/>
      <c r="E2287" s="83"/>
      <c r="F2287" s="83"/>
      <c r="G2287" s="31"/>
      <c r="H2287" s="31"/>
    </row>
    <row r="2288" spans="1:8">
      <c r="A2288" s="31"/>
      <c r="C2288" s="31"/>
      <c r="D2288" s="83"/>
      <c r="E2288" s="83"/>
      <c r="F2288" s="83"/>
      <c r="G2288" s="31"/>
      <c r="H2288" s="31"/>
    </row>
    <row r="2289" spans="1:8">
      <c r="A2289" s="31"/>
      <c r="C2289" s="31"/>
      <c r="D2289" s="83"/>
      <c r="E2289" s="83"/>
      <c r="F2289" s="83"/>
      <c r="G2289" s="31"/>
      <c r="H2289" s="31"/>
    </row>
    <row r="2290" spans="1:8">
      <c r="A2290" s="31"/>
      <c r="C2290" s="31"/>
      <c r="D2290" s="83"/>
      <c r="E2290" s="83"/>
      <c r="F2290" s="83"/>
      <c r="G2290" s="31"/>
      <c r="H2290" s="31"/>
    </row>
    <row r="2291" spans="1:8">
      <c r="A2291" s="31"/>
      <c r="C2291" s="31"/>
      <c r="D2291" s="83"/>
      <c r="E2291" s="83"/>
      <c r="F2291" s="83"/>
      <c r="G2291" s="31"/>
      <c r="H2291" s="31"/>
    </row>
    <row r="2292" spans="1:8">
      <c r="A2292" s="31"/>
      <c r="C2292" s="31"/>
      <c r="D2292" s="83"/>
      <c r="E2292" s="83"/>
      <c r="F2292" s="83"/>
      <c r="G2292" s="31"/>
      <c r="H2292" s="31"/>
    </row>
    <row r="2293" spans="1:8">
      <c r="A2293" s="31"/>
      <c r="C2293" s="31"/>
      <c r="D2293" s="83"/>
      <c r="E2293" s="83"/>
      <c r="F2293" s="83"/>
      <c r="G2293" s="31"/>
      <c r="H2293" s="31"/>
    </row>
    <row r="2294" spans="1:8">
      <c r="A2294" s="31"/>
      <c r="C2294" s="31"/>
      <c r="D2294" s="83"/>
      <c r="E2294" s="83"/>
      <c r="F2294" s="83"/>
      <c r="G2294" s="31"/>
      <c r="H2294" s="31"/>
    </row>
    <row r="2295" spans="1:8">
      <c r="A2295" s="31"/>
      <c r="C2295" s="31"/>
      <c r="D2295" s="83"/>
      <c r="E2295" s="83"/>
      <c r="F2295" s="83"/>
      <c r="G2295" s="31"/>
      <c r="H2295" s="31"/>
    </row>
    <row r="2296" spans="1:8">
      <c r="A2296" s="31"/>
      <c r="C2296" s="31"/>
      <c r="D2296" s="83"/>
      <c r="E2296" s="83"/>
      <c r="F2296" s="83"/>
      <c r="G2296" s="31"/>
      <c r="H2296" s="31"/>
    </row>
    <row r="2297" spans="1:8">
      <c r="A2297" s="31"/>
      <c r="C2297" s="31"/>
      <c r="D2297" s="83"/>
      <c r="E2297" s="83"/>
      <c r="F2297" s="83"/>
      <c r="G2297" s="31"/>
      <c r="H2297" s="31"/>
    </row>
    <row r="2298" spans="1:8">
      <c r="A2298" s="31"/>
      <c r="C2298" s="31"/>
      <c r="D2298" s="83"/>
      <c r="E2298" s="83"/>
      <c r="F2298" s="83"/>
      <c r="G2298" s="31"/>
      <c r="H2298" s="31"/>
    </row>
    <row r="2299" spans="1:8">
      <c r="A2299" s="31"/>
      <c r="C2299" s="31"/>
      <c r="D2299" s="83"/>
      <c r="E2299" s="83"/>
      <c r="F2299" s="83"/>
      <c r="G2299" s="31"/>
      <c r="H2299" s="31"/>
    </row>
    <row r="2300" spans="1:8">
      <c r="A2300" s="31"/>
      <c r="C2300" s="31"/>
      <c r="D2300" s="83"/>
      <c r="E2300" s="83"/>
      <c r="F2300" s="83"/>
      <c r="G2300" s="31"/>
      <c r="H2300" s="31"/>
    </row>
    <row r="2301" spans="1:8">
      <c r="A2301" s="31"/>
      <c r="C2301" s="31"/>
      <c r="D2301" s="83"/>
      <c r="E2301" s="83"/>
      <c r="F2301" s="83"/>
      <c r="G2301" s="31"/>
      <c r="H2301" s="31"/>
    </row>
    <row r="2302" spans="1:8">
      <c r="A2302" s="31"/>
      <c r="C2302" s="31"/>
      <c r="D2302" s="83"/>
      <c r="E2302" s="83"/>
      <c r="F2302" s="83"/>
      <c r="G2302" s="31"/>
      <c r="H2302" s="31"/>
    </row>
    <row r="2303" spans="1:8">
      <c r="A2303" s="31"/>
      <c r="C2303" s="31"/>
      <c r="D2303" s="83"/>
      <c r="E2303" s="83"/>
      <c r="F2303" s="83"/>
      <c r="G2303" s="31"/>
      <c r="H2303" s="31"/>
    </row>
    <row r="2304" spans="1:8">
      <c r="A2304" s="31"/>
      <c r="C2304" s="31"/>
      <c r="D2304" s="83"/>
      <c r="E2304" s="83"/>
      <c r="F2304" s="83"/>
      <c r="G2304" s="31"/>
      <c r="H2304" s="31"/>
    </row>
    <row r="2305" spans="1:8">
      <c r="A2305" s="31"/>
      <c r="C2305" s="31"/>
      <c r="D2305" s="83"/>
      <c r="E2305" s="83"/>
      <c r="F2305" s="83"/>
      <c r="G2305" s="31"/>
      <c r="H2305" s="31"/>
    </row>
    <row r="2306" spans="1:8">
      <c r="A2306" s="31"/>
      <c r="C2306" s="31"/>
      <c r="D2306" s="83"/>
      <c r="E2306" s="83"/>
      <c r="F2306" s="83"/>
      <c r="G2306" s="31"/>
      <c r="H2306" s="31"/>
    </row>
    <row r="2307" spans="1:8">
      <c r="A2307" s="31"/>
      <c r="C2307" s="31"/>
      <c r="D2307" s="83"/>
      <c r="E2307" s="83"/>
      <c r="F2307" s="83"/>
      <c r="G2307" s="31"/>
      <c r="H2307" s="31"/>
    </row>
    <row r="2308" spans="1:8">
      <c r="A2308" s="31"/>
      <c r="C2308" s="31"/>
      <c r="D2308" s="83"/>
      <c r="E2308" s="83"/>
      <c r="F2308" s="83"/>
      <c r="G2308" s="31"/>
      <c r="H2308" s="31"/>
    </row>
    <row r="2309" spans="1:8">
      <c r="A2309" s="31"/>
      <c r="C2309" s="31"/>
      <c r="D2309" s="83"/>
      <c r="E2309" s="83"/>
      <c r="F2309" s="83"/>
      <c r="G2309" s="31"/>
      <c r="H2309" s="31"/>
    </row>
    <row r="2310" spans="1:8">
      <c r="A2310" s="31"/>
      <c r="C2310" s="31"/>
      <c r="D2310" s="83"/>
      <c r="E2310" s="83"/>
      <c r="F2310" s="83"/>
      <c r="G2310" s="31"/>
      <c r="H2310" s="31"/>
    </row>
    <row r="2311" spans="1:8">
      <c r="A2311" s="31"/>
      <c r="C2311" s="31"/>
      <c r="D2311" s="83"/>
      <c r="E2311" s="83"/>
      <c r="F2311" s="83"/>
      <c r="G2311" s="31"/>
      <c r="H2311" s="31"/>
    </row>
    <row r="2312" spans="1:8">
      <c r="A2312" s="31"/>
      <c r="C2312" s="31"/>
      <c r="D2312" s="83"/>
      <c r="E2312" s="83"/>
      <c r="F2312" s="83"/>
      <c r="G2312" s="31"/>
      <c r="H2312" s="31"/>
    </row>
    <row r="2313" spans="1:8">
      <c r="A2313" s="31"/>
      <c r="C2313" s="31"/>
      <c r="D2313" s="83"/>
      <c r="E2313" s="83"/>
      <c r="F2313" s="83"/>
      <c r="G2313" s="31"/>
      <c r="H2313" s="31"/>
    </row>
    <row r="2314" spans="1:8">
      <c r="A2314" s="31"/>
      <c r="C2314" s="31"/>
      <c r="D2314" s="83"/>
      <c r="E2314" s="83"/>
      <c r="F2314" s="83"/>
      <c r="G2314" s="31"/>
      <c r="H2314" s="31"/>
    </row>
    <row r="2315" spans="1:8">
      <c r="A2315" s="31"/>
      <c r="C2315" s="31"/>
      <c r="D2315" s="83"/>
      <c r="E2315" s="83"/>
      <c r="F2315" s="83"/>
      <c r="G2315" s="31"/>
      <c r="H2315" s="31"/>
    </row>
    <row r="2316" spans="1:8">
      <c r="A2316" s="31"/>
      <c r="C2316" s="31"/>
      <c r="D2316" s="83"/>
      <c r="E2316" s="83"/>
      <c r="F2316" s="83"/>
      <c r="G2316" s="31"/>
      <c r="H2316" s="31"/>
    </row>
    <row r="2317" spans="1:8">
      <c r="A2317" s="31"/>
      <c r="C2317" s="31"/>
      <c r="D2317" s="83"/>
      <c r="E2317" s="83"/>
      <c r="F2317" s="83"/>
      <c r="G2317" s="31"/>
      <c r="H2317" s="31"/>
    </row>
    <row r="2318" spans="1:8">
      <c r="A2318" s="31"/>
      <c r="C2318" s="31"/>
      <c r="D2318" s="83"/>
      <c r="E2318" s="83"/>
      <c r="F2318" s="83"/>
      <c r="G2318" s="31"/>
      <c r="H2318" s="31"/>
    </row>
    <row r="2319" spans="1:8">
      <c r="A2319" s="31"/>
      <c r="C2319" s="31"/>
      <c r="D2319" s="83"/>
      <c r="E2319" s="83"/>
      <c r="F2319" s="83"/>
      <c r="G2319" s="31"/>
      <c r="H2319" s="31"/>
    </row>
    <row r="2320" spans="1:8">
      <c r="A2320" s="31"/>
      <c r="C2320" s="31"/>
      <c r="D2320" s="83"/>
      <c r="E2320" s="83"/>
      <c r="F2320" s="83"/>
      <c r="G2320" s="31"/>
      <c r="H2320" s="31"/>
    </row>
    <row r="2321" spans="1:8">
      <c r="A2321" s="31"/>
      <c r="C2321" s="31"/>
      <c r="D2321" s="83"/>
      <c r="E2321" s="83"/>
      <c r="F2321" s="83"/>
      <c r="G2321" s="31"/>
      <c r="H2321" s="31"/>
    </row>
    <row r="2322" spans="1:8">
      <c r="A2322" s="31"/>
      <c r="C2322" s="31"/>
      <c r="D2322" s="83"/>
      <c r="E2322" s="83"/>
      <c r="F2322" s="83"/>
      <c r="G2322" s="31"/>
      <c r="H2322" s="31"/>
    </row>
    <row r="2323" spans="1:8">
      <c r="A2323" s="31"/>
      <c r="C2323" s="31"/>
      <c r="D2323" s="83"/>
      <c r="E2323" s="83"/>
      <c r="F2323" s="83"/>
      <c r="G2323" s="31"/>
      <c r="H2323" s="31"/>
    </row>
    <row r="2324" spans="1:8">
      <c r="A2324" s="31"/>
      <c r="C2324" s="31"/>
      <c r="D2324" s="83"/>
      <c r="E2324" s="83"/>
      <c r="F2324" s="83"/>
      <c r="G2324" s="31"/>
      <c r="H2324" s="31"/>
    </row>
    <row r="2325" spans="1:8">
      <c r="A2325" s="31"/>
      <c r="C2325" s="31"/>
      <c r="D2325" s="83"/>
      <c r="E2325" s="83"/>
      <c r="F2325" s="83"/>
      <c r="G2325" s="31"/>
      <c r="H2325" s="31"/>
    </row>
    <row r="2326" spans="1:8">
      <c r="A2326" s="31"/>
      <c r="C2326" s="31"/>
      <c r="D2326" s="83"/>
      <c r="E2326" s="83"/>
      <c r="F2326" s="83"/>
      <c r="G2326" s="31"/>
      <c r="H2326" s="31"/>
    </row>
    <row r="2327" spans="1:8">
      <c r="A2327" s="31"/>
      <c r="C2327" s="31"/>
      <c r="D2327" s="83"/>
      <c r="E2327" s="83"/>
      <c r="F2327" s="83"/>
      <c r="G2327" s="31"/>
      <c r="H2327" s="31"/>
    </row>
    <row r="2328" spans="1:8">
      <c r="A2328" s="31"/>
      <c r="C2328" s="31"/>
      <c r="D2328" s="83"/>
      <c r="E2328" s="83"/>
      <c r="F2328" s="83"/>
      <c r="G2328" s="31"/>
      <c r="H2328" s="31"/>
    </row>
    <row r="2329" spans="1:8">
      <c r="A2329" s="31"/>
      <c r="C2329" s="31"/>
      <c r="D2329" s="83"/>
      <c r="E2329" s="83"/>
      <c r="F2329" s="83"/>
      <c r="G2329" s="31"/>
      <c r="H2329" s="31"/>
    </row>
    <row r="2330" spans="1:8">
      <c r="A2330" s="31"/>
      <c r="C2330" s="31"/>
      <c r="D2330" s="83"/>
      <c r="E2330" s="83"/>
      <c r="F2330" s="83"/>
      <c r="G2330" s="31"/>
      <c r="H2330" s="31"/>
    </row>
    <row r="2331" spans="1:8">
      <c r="A2331" s="31"/>
      <c r="C2331" s="31"/>
      <c r="D2331" s="83"/>
      <c r="E2331" s="83"/>
      <c r="F2331" s="83"/>
      <c r="G2331" s="31"/>
      <c r="H2331" s="31"/>
    </row>
    <row r="2332" spans="1:8">
      <c r="A2332" s="31"/>
      <c r="C2332" s="31"/>
      <c r="D2332" s="83"/>
      <c r="E2332" s="83"/>
      <c r="F2332" s="83"/>
      <c r="G2332" s="31"/>
      <c r="H2332" s="31"/>
    </row>
    <row r="2333" spans="1:8">
      <c r="A2333" s="31"/>
      <c r="C2333" s="31"/>
      <c r="D2333" s="83"/>
      <c r="E2333" s="83"/>
      <c r="F2333" s="83"/>
      <c r="G2333" s="31"/>
      <c r="H2333" s="31"/>
    </row>
    <row r="2334" spans="1:8">
      <c r="A2334" s="31"/>
      <c r="C2334" s="31"/>
      <c r="D2334" s="83"/>
      <c r="E2334" s="83"/>
      <c r="F2334" s="83"/>
      <c r="G2334" s="31"/>
      <c r="H2334" s="31"/>
    </row>
    <row r="2335" spans="1:8">
      <c r="A2335" s="31"/>
      <c r="C2335" s="31"/>
      <c r="D2335" s="83"/>
      <c r="E2335" s="83"/>
      <c r="F2335" s="83"/>
      <c r="G2335" s="31"/>
      <c r="H2335" s="31"/>
    </row>
    <row r="2336" spans="1:8">
      <c r="A2336" s="31"/>
      <c r="C2336" s="31"/>
      <c r="D2336" s="83"/>
      <c r="E2336" s="83"/>
      <c r="F2336" s="83"/>
      <c r="G2336" s="31"/>
      <c r="H2336" s="31"/>
    </row>
    <row r="2337" spans="1:8">
      <c r="A2337" s="31"/>
      <c r="C2337" s="31"/>
      <c r="D2337" s="83"/>
      <c r="E2337" s="83"/>
      <c r="F2337" s="83"/>
      <c r="G2337" s="31"/>
      <c r="H2337" s="31"/>
    </row>
    <row r="2338" spans="1:8">
      <c r="A2338" s="31"/>
      <c r="C2338" s="31"/>
      <c r="D2338" s="83"/>
      <c r="E2338" s="83"/>
      <c r="F2338" s="83"/>
      <c r="G2338" s="31"/>
      <c r="H2338" s="31"/>
    </row>
    <row r="2339" spans="1:8">
      <c r="A2339" s="31"/>
      <c r="C2339" s="31"/>
      <c r="D2339" s="83"/>
      <c r="E2339" s="83"/>
      <c r="F2339" s="83"/>
      <c r="G2339" s="31"/>
      <c r="H2339" s="31"/>
    </row>
    <row r="2340" spans="1:8">
      <c r="A2340" s="31"/>
      <c r="C2340" s="31"/>
      <c r="D2340" s="83"/>
      <c r="E2340" s="83"/>
      <c r="F2340" s="83"/>
      <c r="G2340" s="31"/>
      <c r="H2340" s="31"/>
    </row>
    <row r="2341" spans="1:8">
      <c r="A2341" s="31"/>
      <c r="C2341" s="31"/>
      <c r="D2341" s="83"/>
      <c r="E2341" s="83"/>
      <c r="F2341" s="83"/>
      <c r="G2341" s="31"/>
      <c r="H2341" s="31"/>
    </row>
    <row r="2342" spans="1:8">
      <c r="A2342" s="31"/>
      <c r="C2342" s="31"/>
      <c r="D2342" s="83"/>
      <c r="E2342" s="83"/>
      <c r="F2342" s="83"/>
      <c r="G2342" s="31"/>
      <c r="H2342" s="31"/>
    </row>
    <row r="2343" spans="1:8">
      <c r="A2343" s="31"/>
      <c r="C2343" s="31"/>
      <c r="D2343" s="83"/>
      <c r="E2343" s="83"/>
      <c r="F2343" s="83"/>
      <c r="G2343" s="31"/>
      <c r="H2343" s="31"/>
    </row>
    <row r="2344" spans="1:8">
      <c r="A2344" s="31"/>
      <c r="C2344" s="31"/>
      <c r="D2344" s="83"/>
      <c r="E2344" s="83"/>
      <c r="F2344" s="83"/>
      <c r="G2344" s="31"/>
      <c r="H2344" s="31"/>
    </row>
    <row r="2345" spans="1:8">
      <c r="A2345" s="31"/>
      <c r="C2345" s="31"/>
      <c r="D2345" s="83"/>
      <c r="E2345" s="83"/>
      <c r="F2345" s="83"/>
      <c r="G2345" s="31"/>
      <c r="H2345" s="31"/>
    </row>
    <row r="2346" spans="1:8">
      <c r="A2346" s="31"/>
      <c r="C2346" s="31"/>
      <c r="D2346" s="83"/>
      <c r="E2346" s="83"/>
      <c r="F2346" s="83"/>
      <c r="G2346" s="31"/>
      <c r="H2346" s="31"/>
    </row>
    <row r="2347" spans="1:8">
      <c r="A2347" s="31"/>
      <c r="C2347" s="31"/>
      <c r="D2347" s="83"/>
      <c r="E2347" s="83"/>
      <c r="F2347" s="83"/>
      <c r="G2347" s="31"/>
      <c r="H2347" s="31"/>
    </row>
    <row r="2348" spans="1:8">
      <c r="A2348" s="31"/>
      <c r="C2348" s="31"/>
      <c r="D2348" s="83"/>
      <c r="E2348" s="83"/>
      <c r="F2348" s="83"/>
      <c r="G2348" s="31"/>
      <c r="H2348" s="31"/>
    </row>
    <row r="2349" spans="1:8">
      <c r="A2349" s="31"/>
      <c r="C2349" s="31"/>
      <c r="D2349" s="83"/>
      <c r="E2349" s="83"/>
      <c r="F2349" s="83"/>
      <c r="G2349" s="31"/>
      <c r="H2349" s="31"/>
    </row>
    <row r="2350" spans="1:8">
      <c r="A2350" s="31"/>
      <c r="C2350" s="31"/>
      <c r="D2350" s="83"/>
      <c r="E2350" s="83"/>
      <c r="F2350" s="83"/>
      <c r="G2350" s="31"/>
      <c r="H2350" s="31"/>
    </row>
    <row r="2351" spans="1:8">
      <c r="A2351" s="31"/>
      <c r="C2351" s="31"/>
      <c r="D2351" s="83"/>
      <c r="E2351" s="83"/>
      <c r="F2351" s="83"/>
      <c r="G2351" s="31"/>
      <c r="H2351" s="31"/>
    </row>
    <row r="2352" spans="1:8">
      <c r="A2352" s="31"/>
      <c r="C2352" s="31"/>
      <c r="D2352" s="83"/>
      <c r="E2352" s="83"/>
      <c r="F2352" s="83"/>
      <c r="G2352" s="31"/>
      <c r="H2352" s="31"/>
    </row>
    <row r="2353" spans="1:8">
      <c r="A2353" s="31"/>
      <c r="C2353" s="31"/>
      <c r="D2353" s="83"/>
      <c r="E2353" s="83"/>
      <c r="F2353" s="83"/>
      <c r="G2353" s="31"/>
      <c r="H2353" s="31"/>
    </row>
    <row r="2354" spans="1:8">
      <c r="A2354" s="31"/>
      <c r="C2354" s="31"/>
      <c r="D2354" s="83"/>
      <c r="E2354" s="83"/>
      <c r="F2354" s="83"/>
      <c r="G2354" s="31"/>
      <c r="H2354" s="31"/>
    </row>
    <row r="2355" spans="1:8">
      <c r="A2355" s="31"/>
      <c r="C2355" s="31"/>
      <c r="D2355" s="83"/>
      <c r="E2355" s="83"/>
      <c r="F2355" s="83"/>
      <c r="G2355" s="31"/>
      <c r="H2355" s="31"/>
    </row>
    <row r="2356" spans="1:8">
      <c r="A2356" s="31"/>
      <c r="C2356" s="31"/>
      <c r="D2356" s="83"/>
      <c r="E2356" s="83"/>
      <c r="F2356" s="83"/>
      <c r="G2356" s="31"/>
      <c r="H2356" s="31"/>
    </row>
    <row r="2357" spans="1:8">
      <c r="A2357" s="31"/>
      <c r="C2357" s="31"/>
      <c r="D2357" s="83"/>
      <c r="E2357" s="83"/>
      <c r="F2357" s="83"/>
      <c r="G2357" s="31"/>
      <c r="H2357" s="31"/>
    </row>
    <row r="2358" spans="1:8">
      <c r="A2358" s="31"/>
      <c r="C2358" s="31"/>
      <c r="D2358" s="83"/>
      <c r="E2358" s="83"/>
      <c r="F2358" s="83"/>
      <c r="G2358" s="31"/>
      <c r="H2358" s="31"/>
    </row>
    <row r="2359" spans="1:8">
      <c r="A2359" s="31"/>
      <c r="C2359" s="31"/>
      <c r="D2359" s="83"/>
      <c r="E2359" s="83"/>
      <c r="F2359" s="83"/>
      <c r="G2359" s="31"/>
      <c r="H2359" s="31"/>
    </row>
    <row r="2360" spans="1:8">
      <c r="A2360" s="31"/>
      <c r="C2360" s="31"/>
      <c r="D2360" s="83"/>
      <c r="E2360" s="83"/>
      <c r="F2360" s="83"/>
      <c r="G2360" s="31"/>
      <c r="H2360" s="31"/>
    </row>
    <row r="2361" spans="1:8">
      <c r="A2361" s="31"/>
      <c r="C2361" s="31"/>
      <c r="D2361" s="83"/>
      <c r="E2361" s="83"/>
      <c r="F2361" s="83"/>
      <c r="G2361" s="31"/>
      <c r="H2361" s="31"/>
    </row>
    <row r="2362" spans="1:8">
      <c r="A2362" s="31"/>
      <c r="C2362" s="31"/>
      <c r="D2362" s="83"/>
      <c r="E2362" s="83"/>
      <c r="F2362" s="83"/>
      <c r="G2362" s="31"/>
      <c r="H2362" s="31"/>
    </row>
    <row r="2363" spans="1:8">
      <c r="A2363" s="31"/>
      <c r="C2363" s="31"/>
      <c r="D2363" s="83"/>
      <c r="E2363" s="83"/>
      <c r="F2363" s="83"/>
      <c r="G2363" s="31"/>
      <c r="H2363" s="31"/>
    </row>
    <row r="2364" spans="1:8">
      <c r="A2364" s="31"/>
      <c r="C2364" s="31"/>
      <c r="D2364" s="83"/>
      <c r="E2364" s="83"/>
      <c r="F2364" s="83"/>
      <c r="G2364" s="31"/>
      <c r="H2364" s="31"/>
    </row>
    <row r="2365" spans="1:8">
      <c r="A2365" s="31"/>
      <c r="C2365" s="31"/>
      <c r="D2365" s="83"/>
      <c r="E2365" s="83"/>
      <c r="F2365" s="83"/>
      <c r="G2365" s="31"/>
      <c r="H2365" s="31"/>
    </row>
    <row r="2366" spans="1:8">
      <c r="A2366" s="31"/>
      <c r="C2366" s="31"/>
      <c r="D2366" s="83"/>
      <c r="E2366" s="83"/>
      <c r="F2366" s="83"/>
      <c r="G2366" s="31"/>
      <c r="H2366" s="31"/>
    </row>
    <row r="2367" spans="1:8">
      <c r="A2367" s="31"/>
      <c r="C2367" s="31"/>
      <c r="D2367" s="83"/>
      <c r="E2367" s="83"/>
      <c r="F2367" s="83"/>
      <c r="G2367" s="31"/>
      <c r="H2367" s="31"/>
    </row>
    <row r="2368" spans="1:8">
      <c r="A2368" s="31"/>
      <c r="C2368" s="31"/>
      <c r="D2368" s="83"/>
      <c r="E2368" s="83"/>
      <c r="F2368" s="83"/>
      <c r="G2368" s="31"/>
      <c r="H2368" s="31"/>
    </row>
    <row r="2369" spans="1:8">
      <c r="A2369" s="31"/>
      <c r="C2369" s="31"/>
      <c r="D2369" s="83"/>
      <c r="E2369" s="83"/>
      <c r="F2369" s="83"/>
      <c r="G2369" s="31"/>
      <c r="H2369" s="31"/>
    </row>
    <row r="2370" spans="1:8">
      <c r="A2370" s="31"/>
      <c r="C2370" s="31"/>
      <c r="D2370" s="83"/>
      <c r="E2370" s="83"/>
      <c r="F2370" s="83"/>
      <c r="G2370" s="31"/>
      <c r="H2370" s="31"/>
    </row>
    <row r="2371" spans="1:8">
      <c r="A2371" s="31"/>
      <c r="C2371" s="31"/>
      <c r="D2371" s="83"/>
      <c r="E2371" s="83"/>
      <c r="F2371" s="83"/>
      <c r="G2371" s="31"/>
      <c r="H2371" s="31"/>
    </row>
    <row r="2372" spans="1:8">
      <c r="A2372" s="31"/>
      <c r="C2372" s="31"/>
      <c r="D2372" s="83"/>
      <c r="E2372" s="83"/>
      <c r="F2372" s="83"/>
      <c r="G2372" s="31"/>
      <c r="H2372" s="31"/>
    </row>
    <row r="2373" spans="1:8">
      <c r="A2373" s="31"/>
      <c r="C2373" s="31"/>
      <c r="D2373" s="83"/>
      <c r="E2373" s="83"/>
      <c r="F2373" s="83"/>
      <c r="G2373" s="31"/>
      <c r="H2373" s="31"/>
    </row>
    <row r="2374" spans="1:8">
      <c r="A2374" s="31"/>
      <c r="C2374" s="31"/>
      <c r="D2374" s="83"/>
      <c r="E2374" s="83"/>
      <c r="F2374" s="83"/>
      <c r="G2374" s="31"/>
      <c r="H2374" s="31"/>
    </row>
    <row r="2375" spans="1:8">
      <c r="A2375" s="31"/>
      <c r="C2375" s="31"/>
      <c r="D2375" s="83"/>
      <c r="E2375" s="83"/>
      <c r="F2375" s="83"/>
      <c r="G2375" s="31"/>
      <c r="H2375" s="31"/>
    </row>
    <row r="2376" spans="1:8">
      <c r="A2376" s="31"/>
      <c r="C2376" s="31"/>
      <c r="D2376" s="83"/>
      <c r="E2376" s="83"/>
      <c r="F2376" s="83"/>
      <c r="G2376" s="31"/>
      <c r="H2376" s="31"/>
    </row>
    <row r="2377" spans="1:8">
      <c r="A2377" s="31"/>
      <c r="C2377" s="31"/>
      <c r="D2377" s="83"/>
      <c r="E2377" s="83"/>
      <c r="F2377" s="83"/>
      <c r="G2377" s="31"/>
      <c r="H2377" s="31"/>
    </row>
    <row r="2378" spans="1:8">
      <c r="A2378" s="31"/>
      <c r="C2378" s="31"/>
      <c r="D2378" s="83"/>
      <c r="E2378" s="83"/>
      <c r="F2378" s="83"/>
      <c r="G2378" s="31"/>
      <c r="H2378" s="31"/>
    </row>
    <row r="2379" spans="1:8">
      <c r="A2379" s="31"/>
      <c r="C2379" s="31"/>
      <c r="D2379" s="83"/>
      <c r="E2379" s="83"/>
      <c r="F2379" s="83"/>
      <c r="G2379" s="31"/>
      <c r="H2379" s="31"/>
    </row>
    <row r="2380" spans="1:8">
      <c r="A2380" s="31"/>
      <c r="C2380" s="31"/>
      <c r="D2380" s="83"/>
      <c r="E2380" s="83"/>
      <c r="F2380" s="83"/>
      <c r="G2380" s="31"/>
      <c r="H2380" s="31"/>
    </row>
    <row r="2381" spans="1:8">
      <c r="A2381" s="31"/>
      <c r="C2381" s="31"/>
      <c r="D2381" s="83"/>
      <c r="E2381" s="83"/>
      <c r="F2381" s="83"/>
      <c r="G2381" s="31"/>
      <c r="H2381" s="31"/>
    </row>
    <row r="2382" spans="1:8">
      <c r="A2382" s="31"/>
      <c r="C2382" s="31"/>
      <c r="D2382" s="83"/>
      <c r="E2382" s="83"/>
      <c r="F2382" s="83"/>
      <c r="G2382" s="31"/>
      <c r="H2382" s="31"/>
    </row>
    <row r="2383" spans="1:8">
      <c r="A2383" s="31"/>
      <c r="C2383" s="31"/>
      <c r="D2383" s="83"/>
      <c r="E2383" s="83"/>
      <c r="F2383" s="83"/>
      <c r="G2383" s="31"/>
      <c r="H2383" s="31"/>
    </row>
    <row r="2384" spans="1:8">
      <c r="A2384" s="31"/>
      <c r="C2384" s="31"/>
      <c r="D2384" s="83"/>
      <c r="E2384" s="83"/>
      <c r="F2384" s="83"/>
      <c r="G2384" s="31"/>
      <c r="H2384" s="31"/>
    </row>
    <row r="2385" spans="1:8">
      <c r="A2385" s="31"/>
      <c r="C2385" s="31"/>
      <c r="D2385" s="83"/>
      <c r="E2385" s="83"/>
      <c r="F2385" s="83"/>
      <c r="G2385" s="31"/>
      <c r="H2385" s="31"/>
    </row>
    <row r="2386" spans="1:8">
      <c r="A2386" s="31"/>
      <c r="C2386" s="31"/>
      <c r="D2386" s="83"/>
      <c r="E2386" s="83"/>
      <c r="F2386" s="83"/>
      <c r="G2386" s="31"/>
      <c r="H2386" s="31"/>
    </row>
    <row r="2387" spans="1:8">
      <c r="A2387" s="31"/>
      <c r="C2387" s="31"/>
      <c r="D2387" s="83"/>
      <c r="E2387" s="83"/>
      <c r="F2387" s="83"/>
      <c r="G2387" s="31"/>
      <c r="H2387" s="31"/>
    </row>
    <row r="2388" spans="1:8">
      <c r="A2388" s="31"/>
      <c r="C2388" s="31"/>
      <c r="D2388" s="83"/>
      <c r="E2388" s="83"/>
      <c r="F2388" s="83"/>
      <c r="G2388" s="31"/>
      <c r="H2388" s="31"/>
    </row>
    <row r="2389" spans="1:8">
      <c r="A2389" s="31"/>
      <c r="C2389" s="31"/>
      <c r="D2389" s="83"/>
      <c r="E2389" s="83"/>
      <c r="F2389" s="83"/>
      <c r="G2389" s="31"/>
      <c r="H2389" s="31"/>
    </row>
    <row r="2390" spans="1:8">
      <c r="A2390" s="31"/>
      <c r="C2390" s="31"/>
      <c r="D2390" s="83"/>
      <c r="E2390" s="83"/>
      <c r="F2390" s="83"/>
      <c r="G2390" s="31"/>
      <c r="H2390" s="31"/>
    </row>
    <row r="2391" spans="1:8">
      <c r="A2391" s="31"/>
      <c r="C2391" s="31"/>
      <c r="D2391" s="83"/>
      <c r="E2391" s="83"/>
      <c r="F2391" s="83"/>
      <c r="G2391" s="31"/>
      <c r="H2391" s="31"/>
    </row>
    <row r="2392" spans="1:8">
      <c r="A2392" s="31"/>
      <c r="C2392" s="31"/>
      <c r="D2392" s="83"/>
      <c r="E2392" s="83"/>
      <c r="F2392" s="83"/>
      <c r="G2392" s="31"/>
      <c r="H2392" s="31"/>
    </row>
    <row r="2393" spans="1:8">
      <c r="A2393" s="31"/>
      <c r="C2393" s="31"/>
      <c r="D2393" s="83"/>
      <c r="E2393" s="83"/>
      <c r="F2393" s="83"/>
      <c r="G2393" s="31"/>
      <c r="H2393" s="31"/>
    </row>
    <row r="2394" spans="1:8">
      <c r="A2394" s="31"/>
      <c r="C2394" s="31"/>
      <c r="D2394" s="83"/>
      <c r="E2394" s="83"/>
      <c r="F2394" s="83"/>
      <c r="G2394" s="31"/>
      <c r="H2394" s="31"/>
    </row>
    <row r="2395" spans="1:8">
      <c r="A2395" s="31"/>
      <c r="C2395" s="31"/>
      <c r="D2395" s="83"/>
      <c r="E2395" s="83"/>
      <c r="F2395" s="83"/>
      <c r="G2395" s="31"/>
      <c r="H2395" s="31"/>
    </row>
    <row r="2396" spans="1:8">
      <c r="A2396" s="31"/>
      <c r="C2396" s="31"/>
      <c r="D2396" s="83"/>
      <c r="E2396" s="83"/>
      <c r="F2396" s="83"/>
      <c r="G2396" s="31"/>
      <c r="H2396" s="31"/>
    </row>
    <row r="2397" spans="1:8">
      <c r="A2397" s="31"/>
      <c r="C2397" s="31"/>
      <c r="D2397" s="83"/>
      <c r="E2397" s="83"/>
      <c r="F2397" s="83"/>
      <c r="G2397" s="31"/>
      <c r="H2397" s="31"/>
    </row>
    <row r="2398" spans="1:8">
      <c r="A2398" s="31"/>
      <c r="C2398" s="31"/>
      <c r="D2398" s="83"/>
      <c r="E2398" s="83"/>
      <c r="F2398" s="83"/>
      <c r="G2398" s="31"/>
      <c r="H2398" s="31"/>
    </row>
    <row r="2399" spans="1:8">
      <c r="A2399" s="31"/>
      <c r="C2399" s="31"/>
      <c r="D2399" s="83"/>
      <c r="E2399" s="83"/>
      <c r="F2399" s="83"/>
      <c r="G2399" s="31"/>
      <c r="H2399" s="31"/>
    </row>
    <row r="2400" spans="1:8">
      <c r="A2400" s="31"/>
      <c r="C2400" s="31"/>
      <c r="D2400" s="83"/>
      <c r="E2400" s="83"/>
      <c r="F2400" s="83"/>
      <c r="G2400" s="31"/>
      <c r="H2400" s="31"/>
    </row>
    <row r="2401" spans="1:8">
      <c r="A2401" s="31"/>
      <c r="C2401" s="31"/>
      <c r="D2401" s="83"/>
      <c r="E2401" s="83"/>
      <c r="F2401" s="83"/>
      <c r="G2401" s="31"/>
      <c r="H2401" s="31"/>
    </row>
    <row r="2402" spans="1:8">
      <c r="A2402" s="31"/>
      <c r="C2402" s="31"/>
      <c r="D2402" s="83"/>
      <c r="E2402" s="83"/>
      <c r="F2402" s="83"/>
      <c r="G2402" s="31"/>
      <c r="H2402" s="31"/>
    </row>
    <row r="2403" spans="1:8">
      <c r="A2403" s="31"/>
      <c r="C2403" s="31"/>
      <c r="D2403" s="83"/>
      <c r="E2403" s="83"/>
      <c r="F2403" s="83"/>
      <c r="G2403" s="31"/>
      <c r="H2403" s="31"/>
    </row>
    <row r="2404" spans="1:8">
      <c r="A2404" s="31"/>
      <c r="C2404" s="31"/>
      <c r="D2404" s="83"/>
      <c r="E2404" s="83"/>
      <c r="F2404" s="83"/>
      <c r="G2404" s="31"/>
      <c r="H2404" s="31"/>
    </row>
    <row r="2405" spans="1:8">
      <c r="A2405" s="31"/>
      <c r="C2405" s="31"/>
      <c r="D2405" s="83"/>
      <c r="E2405" s="83"/>
      <c r="F2405" s="83"/>
      <c r="G2405" s="31"/>
      <c r="H2405" s="31"/>
    </row>
    <row r="2406" spans="1:8">
      <c r="A2406" s="31"/>
      <c r="C2406" s="31"/>
      <c r="D2406" s="83"/>
      <c r="E2406" s="83"/>
      <c r="F2406" s="83"/>
      <c r="G2406" s="31"/>
      <c r="H2406" s="31"/>
    </row>
    <row r="2407" spans="1:8">
      <c r="A2407" s="31"/>
      <c r="C2407" s="31"/>
      <c r="D2407" s="83"/>
      <c r="E2407" s="83"/>
      <c r="F2407" s="83"/>
      <c r="G2407" s="31"/>
      <c r="H2407" s="31"/>
    </row>
    <row r="2408" spans="1:8">
      <c r="A2408" s="31"/>
      <c r="C2408" s="31"/>
      <c r="D2408" s="83"/>
      <c r="E2408" s="83"/>
      <c r="F2408" s="83"/>
      <c r="G2408" s="31"/>
      <c r="H2408" s="31"/>
    </row>
    <row r="2409" spans="1:8">
      <c r="A2409" s="31"/>
      <c r="C2409" s="31"/>
      <c r="D2409" s="83"/>
      <c r="E2409" s="83"/>
      <c r="F2409" s="83"/>
      <c r="G2409" s="31"/>
      <c r="H2409" s="31"/>
    </row>
    <row r="2410" spans="1:8">
      <c r="A2410" s="31"/>
      <c r="C2410" s="31"/>
      <c r="D2410" s="83"/>
      <c r="E2410" s="83"/>
      <c r="F2410" s="83"/>
      <c r="G2410" s="31"/>
      <c r="H2410" s="31"/>
    </row>
    <row r="2411" spans="1:8">
      <c r="A2411" s="31"/>
      <c r="C2411" s="31"/>
      <c r="D2411" s="83"/>
      <c r="E2411" s="83"/>
      <c r="F2411" s="83"/>
      <c r="G2411" s="31"/>
      <c r="H2411" s="31"/>
    </row>
    <row r="2412" spans="1:8">
      <c r="A2412" s="31"/>
      <c r="C2412" s="31"/>
      <c r="D2412" s="83"/>
      <c r="E2412" s="83"/>
      <c r="F2412" s="83"/>
      <c r="G2412" s="31"/>
      <c r="H2412" s="31"/>
    </row>
    <row r="2413" spans="1:8">
      <c r="A2413" s="31"/>
      <c r="C2413" s="31"/>
      <c r="D2413" s="83"/>
      <c r="E2413" s="83"/>
      <c r="F2413" s="83"/>
      <c r="G2413" s="31"/>
      <c r="H2413" s="31"/>
    </row>
    <row r="2414" spans="1:8">
      <c r="A2414" s="31"/>
      <c r="C2414" s="31"/>
      <c r="D2414" s="83"/>
      <c r="E2414" s="83"/>
      <c r="F2414" s="83"/>
      <c r="G2414" s="31"/>
      <c r="H2414" s="31"/>
    </row>
    <row r="2415" spans="1:8">
      <c r="A2415" s="31"/>
      <c r="C2415" s="31"/>
      <c r="D2415" s="83"/>
      <c r="E2415" s="83"/>
      <c r="F2415" s="83"/>
      <c r="G2415" s="31"/>
      <c r="H2415" s="31"/>
    </row>
    <row r="2416" spans="1:8">
      <c r="A2416" s="31"/>
      <c r="C2416" s="31"/>
      <c r="D2416" s="83"/>
      <c r="E2416" s="83"/>
      <c r="F2416" s="83"/>
      <c r="G2416" s="31"/>
      <c r="H2416" s="31"/>
    </row>
    <row r="2417" spans="1:8">
      <c r="A2417" s="31"/>
      <c r="C2417" s="31"/>
      <c r="D2417" s="83"/>
      <c r="E2417" s="83"/>
      <c r="F2417" s="83"/>
      <c r="G2417" s="31"/>
      <c r="H2417" s="31"/>
    </row>
    <row r="2418" spans="1:8">
      <c r="A2418" s="31"/>
      <c r="C2418" s="31"/>
      <c r="D2418" s="83"/>
      <c r="E2418" s="83"/>
      <c r="F2418" s="83"/>
      <c r="G2418" s="31"/>
      <c r="H2418" s="31"/>
    </row>
    <row r="2419" spans="1:8">
      <c r="A2419" s="31"/>
      <c r="C2419" s="31"/>
      <c r="D2419" s="83"/>
      <c r="E2419" s="83"/>
      <c r="F2419" s="83"/>
      <c r="G2419" s="31"/>
      <c r="H2419" s="31"/>
    </row>
    <row r="2420" spans="1:8">
      <c r="A2420" s="31"/>
      <c r="C2420" s="31"/>
      <c r="D2420" s="83"/>
      <c r="E2420" s="83"/>
      <c r="F2420" s="83"/>
      <c r="G2420" s="31"/>
      <c r="H2420" s="31"/>
    </row>
    <row r="2421" spans="1:8">
      <c r="A2421" s="31"/>
      <c r="C2421" s="31"/>
      <c r="D2421" s="83"/>
      <c r="E2421" s="83"/>
      <c r="F2421" s="83"/>
      <c r="G2421" s="31"/>
      <c r="H2421" s="31"/>
    </row>
    <row r="2422" spans="1:8">
      <c r="A2422" s="31"/>
      <c r="C2422" s="31"/>
      <c r="D2422" s="83"/>
      <c r="E2422" s="83"/>
      <c r="F2422" s="83"/>
      <c r="G2422" s="31"/>
      <c r="H2422" s="31"/>
    </row>
    <row r="2423" spans="1:8">
      <c r="A2423" s="31"/>
      <c r="C2423" s="31"/>
      <c r="D2423" s="83"/>
      <c r="E2423" s="83"/>
      <c r="F2423" s="83"/>
      <c r="G2423" s="31"/>
      <c r="H2423" s="31"/>
    </row>
    <row r="2424" spans="1:8">
      <c r="A2424" s="31"/>
      <c r="C2424" s="31"/>
      <c r="D2424" s="83"/>
      <c r="E2424" s="83"/>
      <c r="F2424" s="83"/>
      <c r="G2424" s="31"/>
      <c r="H2424" s="31"/>
    </row>
    <row r="2425" spans="1:8">
      <c r="A2425" s="31"/>
      <c r="C2425" s="31"/>
      <c r="D2425" s="83"/>
      <c r="E2425" s="83"/>
      <c r="F2425" s="83"/>
      <c r="G2425" s="31"/>
      <c r="H2425" s="31"/>
    </row>
    <row r="2426" spans="1:8">
      <c r="A2426" s="31"/>
      <c r="C2426" s="31"/>
      <c r="D2426" s="83"/>
      <c r="E2426" s="83"/>
      <c r="F2426" s="83"/>
      <c r="G2426" s="31"/>
      <c r="H2426" s="31"/>
    </row>
    <row r="2427" spans="1:8">
      <c r="A2427" s="31"/>
      <c r="C2427" s="31"/>
      <c r="D2427" s="83"/>
      <c r="E2427" s="83"/>
      <c r="F2427" s="83"/>
      <c r="G2427" s="31"/>
      <c r="H2427" s="31"/>
    </row>
    <row r="2428" spans="1:8">
      <c r="A2428" s="31"/>
      <c r="C2428" s="31"/>
      <c r="D2428" s="83"/>
      <c r="E2428" s="83"/>
      <c r="F2428" s="83"/>
      <c r="G2428" s="31"/>
      <c r="H2428" s="31"/>
    </row>
    <row r="2429" spans="1:8">
      <c r="A2429" s="31"/>
      <c r="C2429" s="31"/>
      <c r="D2429" s="83"/>
      <c r="E2429" s="83"/>
      <c r="F2429" s="83"/>
      <c r="G2429" s="31"/>
      <c r="H2429" s="31"/>
    </row>
    <row r="2430" spans="1:8">
      <c r="A2430" s="31"/>
      <c r="C2430" s="31"/>
      <c r="D2430" s="83"/>
      <c r="E2430" s="83"/>
      <c r="F2430" s="83"/>
      <c r="G2430" s="31"/>
      <c r="H2430" s="31"/>
    </row>
    <row r="2431" spans="1:8">
      <c r="A2431" s="31"/>
      <c r="C2431" s="31"/>
      <c r="D2431" s="83"/>
      <c r="E2431" s="83"/>
      <c r="F2431" s="83"/>
      <c r="G2431" s="31"/>
      <c r="H2431" s="31"/>
    </row>
    <row r="2432" spans="1:8">
      <c r="A2432" s="31"/>
      <c r="C2432" s="31"/>
      <c r="D2432" s="83"/>
      <c r="E2432" s="83"/>
      <c r="F2432" s="83"/>
      <c r="G2432" s="31"/>
      <c r="H2432" s="31"/>
    </row>
    <row r="2433" spans="1:8">
      <c r="A2433" s="31"/>
      <c r="C2433" s="31"/>
      <c r="D2433" s="83"/>
      <c r="E2433" s="83"/>
      <c r="F2433" s="83"/>
      <c r="G2433" s="31"/>
      <c r="H2433" s="31"/>
    </row>
    <row r="2434" spans="1:8">
      <c r="A2434" s="31"/>
      <c r="C2434" s="31"/>
      <c r="D2434" s="83"/>
      <c r="E2434" s="83"/>
      <c r="F2434" s="83"/>
      <c r="G2434" s="31"/>
      <c r="H2434" s="31"/>
    </row>
    <row r="2435" spans="1:8">
      <c r="A2435" s="31"/>
      <c r="C2435" s="31"/>
      <c r="D2435" s="83"/>
      <c r="E2435" s="83"/>
      <c r="F2435" s="83"/>
      <c r="G2435" s="31"/>
      <c r="H2435" s="31"/>
    </row>
    <row r="2436" spans="1:8">
      <c r="A2436" s="31"/>
      <c r="C2436" s="31"/>
      <c r="D2436" s="83"/>
      <c r="E2436" s="83"/>
      <c r="F2436" s="83"/>
      <c r="G2436" s="31"/>
      <c r="H2436" s="31"/>
    </row>
    <row r="2437" spans="1:8">
      <c r="A2437" s="31"/>
      <c r="C2437" s="31"/>
      <c r="D2437" s="83"/>
      <c r="E2437" s="83"/>
      <c r="F2437" s="83"/>
      <c r="G2437" s="31"/>
      <c r="H2437" s="31"/>
    </row>
    <row r="2438" spans="1:8">
      <c r="A2438" s="31"/>
      <c r="C2438" s="31"/>
      <c r="D2438" s="83"/>
      <c r="E2438" s="83"/>
      <c r="F2438" s="83"/>
      <c r="G2438" s="31"/>
      <c r="H2438" s="31"/>
    </row>
    <row r="2439" spans="1:8">
      <c r="A2439" s="31"/>
      <c r="C2439" s="31"/>
      <c r="D2439" s="83"/>
      <c r="E2439" s="83"/>
      <c r="F2439" s="83"/>
      <c r="G2439" s="31"/>
      <c r="H2439" s="31"/>
    </row>
    <row r="2440" spans="1:8">
      <c r="A2440" s="31"/>
      <c r="C2440" s="31"/>
      <c r="D2440" s="83"/>
      <c r="E2440" s="83"/>
      <c r="F2440" s="83"/>
      <c r="G2440" s="31"/>
      <c r="H2440" s="31"/>
    </row>
    <row r="2441" spans="1:8">
      <c r="A2441" s="31"/>
      <c r="C2441" s="31"/>
      <c r="D2441" s="83"/>
      <c r="E2441" s="83"/>
      <c r="F2441" s="83"/>
      <c r="G2441" s="31"/>
      <c r="H2441" s="31"/>
    </row>
    <row r="2442" spans="1:8">
      <c r="A2442" s="31"/>
      <c r="C2442" s="31"/>
      <c r="D2442" s="83"/>
      <c r="E2442" s="83"/>
      <c r="F2442" s="83"/>
      <c r="G2442" s="31"/>
      <c r="H2442" s="31"/>
    </row>
    <row r="2443" spans="1:8">
      <c r="A2443" s="31"/>
      <c r="C2443" s="31"/>
      <c r="D2443" s="83"/>
      <c r="E2443" s="83"/>
      <c r="F2443" s="83"/>
      <c r="G2443" s="31"/>
      <c r="H2443" s="31"/>
    </row>
    <row r="2444" spans="1:8">
      <c r="A2444" s="31"/>
      <c r="C2444" s="31"/>
      <c r="D2444" s="83"/>
      <c r="E2444" s="83"/>
      <c r="F2444" s="83"/>
      <c r="G2444" s="31"/>
      <c r="H2444" s="31"/>
    </row>
    <row r="2445" spans="1:8">
      <c r="A2445" s="31"/>
      <c r="C2445" s="31"/>
      <c r="D2445" s="83"/>
      <c r="E2445" s="83"/>
      <c r="F2445" s="83"/>
      <c r="G2445" s="31"/>
      <c r="H2445" s="31"/>
    </row>
    <row r="2446" spans="1:8">
      <c r="A2446" s="31"/>
      <c r="C2446" s="31"/>
      <c r="D2446" s="83"/>
      <c r="E2446" s="83"/>
      <c r="F2446" s="83"/>
      <c r="G2446" s="31"/>
      <c r="H2446" s="31"/>
    </row>
    <row r="2447" spans="1:8">
      <c r="A2447" s="31"/>
      <c r="C2447" s="31"/>
      <c r="D2447" s="83"/>
      <c r="E2447" s="83"/>
      <c r="F2447" s="83"/>
      <c r="G2447" s="31"/>
      <c r="H2447" s="31"/>
    </row>
    <row r="2448" spans="1:8">
      <c r="A2448" s="31"/>
      <c r="C2448" s="31"/>
      <c r="D2448" s="83"/>
      <c r="E2448" s="83"/>
      <c r="F2448" s="83"/>
      <c r="G2448" s="31"/>
      <c r="H2448" s="31"/>
    </row>
    <row r="2449" spans="1:8">
      <c r="A2449" s="31"/>
      <c r="C2449" s="31"/>
      <c r="D2449" s="83"/>
      <c r="E2449" s="83"/>
      <c r="F2449" s="83"/>
      <c r="G2449" s="31"/>
      <c r="H2449" s="31"/>
    </row>
    <row r="2450" spans="1:8">
      <c r="A2450" s="31"/>
      <c r="C2450" s="31"/>
      <c r="D2450" s="83"/>
      <c r="E2450" s="83"/>
      <c r="F2450" s="83"/>
      <c r="G2450" s="31"/>
      <c r="H2450" s="31"/>
    </row>
    <row r="2451" spans="1:8">
      <c r="A2451" s="31"/>
      <c r="C2451" s="31"/>
      <c r="D2451" s="83"/>
      <c r="E2451" s="83"/>
      <c r="F2451" s="83"/>
      <c r="G2451" s="31"/>
      <c r="H2451" s="31"/>
    </row>
    <row r="2452" spans="1:8">
      <c r="A2452" s="31"/>
      <c r="C2452" s="31"/>
      <c r="D2452" s="83"/>
      <c r="E2452" s="83"/>
      <c r="F2452" s="83"/>
      <c r="G2452" s="31"/>
      <c r="H2452" s="31"/>
    </row>
    <row r="2453" spans="1:8">
      <c r="A2453" s="31"/>
      <c r="C2453" s="31"/>
      <c r="D2453" s="83"/>
      <c r="E2453" s="83"/>
      <c r="F2453" s="83"/>
      <c r="G2453" s="31"/>
      <c r="H2453" s="31"/>
    </row>
    <row r="2454" spans="1:8">
      <c r="A2454" s="31"/>
      <c r="C2454" s="31"/>
      <c r="D2454" s="83"/>
      <c r="E2454" s="83"/>
      <c r="F2454" s="83"/>
      <c r="G2454" s="31"/>
      <c r="H2454" s="31"/>
    </row>
    <row r="2455" spans="1:8">
      <c r="A2455" s="31"/>
      <c r="C2455" s="31"/>
      <c r="D2455" s="83"/>
      <c r="E2455" s="83"/>
      <c r="F2455" s="83"/>
      <c r="G2455" s="31"/>
      <c r="H2455" s="31"/>
    </row>
    <row r="2456" spans="1:8">
      <c r="A2456" s="31"/>
      <c r="C2456" s="31"/>
      <c r="D2456" s="83"/>
      <c r="E2456" s="83"/>
      <c r="F2456" s="83"/>
      <c r="G2456" s="31"/>
      <c r="H2456" s="31"/>
    </row>
    <row r="2457" spans="1:8">
      <c r="A2457" s="31"/>
      <c r="C2457" s="31"/>
      <c r="D2457" s="83"/>
      <c r="E2457" s="83"/>
      <c r="F2457" s="83"/>
      <c r="G2457" s="31"/>
      <c r="H2457" s="31"/>
    </row>
    <row r="2458" spans="1:8">
      <c r="A2458" s="31"/>
      <c r="C2458" s="31"/>
      <c r="D2458" s="83"/>
      <c r="E2458" s="83"/>
      <c r="F2458" s="83"/>
      <c r="G2458" s="31"/>
      <c r="H2458" s="31"/>
    </row>
    <row r="2459" spans="1:8">
      <c r="A2459" s="31"/>
      <c r="C2459" s="31"/>
      <c r="D2459" s="83"/>
      <c r="E2459" s="83"/>
      <c r="F2459" s="83"/>
      <c r="G2459" s="31"/>
      <c r="H2459" s="31"/>
    </row>
    <row r="2460" spans="1:8">
      <c r="A2460" s="31"/>
      <c r="C2460" s="31"/>
      <c r="D2460" s="83"/>
      <c r="E2460" s="83"/>
      <c r="F2460" s="83"/>
      <c r="G2460" s="31"/>
      <c r="H2460" s="31"/>
    </row>
    <row r="2461" spans="1:8">
      <c r="A2461" s="31"/>
      <c r="C2461" s="31"/>
      <c r="D2461" s="83"/>
      <c r="E2461" s="83"/>
      <c r="F2461" s="83"/>
      <c r="G2461" s="31"/>
      <c r="H2461" s="31"/>
    </row>
    <row r="2462" spans="1:8">
      <c r="A2462" s="31"/>
      <c r="C2462" s="31"/>
      <c r="D2462" s="83"/>
      <c r="E2462" s="83"/>
      <c r="F2462" s="83"/>
      <c r="G2462" s="31"/>
      <c r="H2462" s="31"/>
    </row>
    <row r="2463" spans="1:8">
      <c r="A2463" s="31"/>
      <c r="C2463" s="31"/>
      <c r="D2463" s="83"/>
      <c r="E2463" s="83"/>
      <c r="F2463" s="83"/>
      <c r="G2463" s="31"/>
      <c r="H2463" s="31"/>
    </row>
    <row r="2464" spans="1:8">
      <c r="A2464" s="31"/>
      <c r="C2464" s="31"/>
      <c r="D2464" s="83"/>
      <c r="E2464" s="83"/>
      <c r="F2464" s="83"/>
      <c r="G2464" s="31"/>
      <c r="H2464" s="31"/>
    </row>
    <row r="2465" spans="1:8">
      <c r="A2465" s="31"/>
      <c r="C2465" s="31"/>
      <c r="D2465" s="83"/>
      <c r="E2465" s="83"/>
      <c r="F2465" s="83"/>
      <c r="G2465" s="31"/>
      <c r="H2465" s="31"/>
    </row>
    <row r="2466" spans="1:8">
      <c r="A2466" s="31"/>
      <c r="C2466" s="31"/>
      <c r="D2466" s="83"/>
      <c r="E2466" s="83"/>
      <c r="F2466" s="83"/>
      <c r="G2466" s="31"/>
      <c r="H2466" s="31"/>
    </row>
    <row r="2467" spans="1:8">
      <c r="A2467" s="31"/>
      <c r="C2467" s="31"/>
      <c r="D2467" s="83"/>
      <c r="E2467" s="83"/>
      <c r="F2467" s="83"/>
      <c r="G2467" s="31"/>
      <c r="H2467" s="31"/>
    </row>
    <row r="2468" spans="1:8">
      <c r="A2468" s="31"/>
      <c r="C2468" s="31"/>
      <c r="D2468" s="83"/>
      <c r="E2468" s="83"/>
      <c r="F2468" s="83"/>
      <c r="G2468" s="31"/>
      <c r="H2468" s="31"/>
    </row>
    <row r="2469" spans="1:8">
      <c r="A2469" s="31"/>
      <c r="C2469" s="31"/>
      <c r="D2469" s="83"/>
      <c r="E2469" s="83"/>
      <c r="F2469" s="83"/>
      <c r="G2469" s="31"/>
      <c r="H2469" s="31"/>
    </row>
    <row r="2470" spans="1:8">
      <c r="A2470" s="31"/>
      <c r="C2470" s="31"/>
      <c r="D2470" s="83"/>
      <c r="E2470" s="83"/>
      <c r="F2470" s="83"/>
      <c r="G2470" s="31"/>
      <c r="H2470" s="31"/>
    </row>
    <row r="2471" spans="1:8">
      <c r="A2471" s="31"/>
      <c r="C2471" s="31"/>
      <c r="D2471" s="83"/>
      <c r="E2471" s="83"/>
      <c r="F2471" s="83"/>
      <c r="G2471" s="31"/>
      <c r="H2471" s="31"/>
    </row>
    <row r="2472" spans="1:8">
      <c r="A2472" s="31"/>
      <c r="C2472" s="31"/>
      <c r="D2472" s="83"/>
      <c r="E2472" s="83"/>
      <c r="F2472" s="83"/>
      <c r="G2472" s="31"/>
      <c r="H2472" s="31"/>
    </row>
    <row r="2473" spans="1:8">
      <c r="A2473" s="31"/>
      <c r="C2473" s="31"/>
      <c r="D2473" s="83"/>
      <c r="E2473" s="83"/>
      <c r="F2473" s="83"/>
      <c r="G2473" s="31"/>
      <c r="H2473" s="31"/>
    </row>
    <row r="2474" spans="1:8">
      <c r="A2474" s="31"/>
      <c r="C2474" s="31"/>
      <c r="D2474" s="83"/>
      <c r="E2474" s="83"/>
      <c r="F2474" s="83"/>
      <c r="G2474" s="31"/>
      <c r="H2474" s="31"/>
    </row>
    <row r="2475" spans="1:8">
      <c r="A2475" s="31"/>
      <c r="C2475" s="31"/>
      <c r="D2475" s="83"/>
      <c r="E2475" s="83"/>
      <c r="F2475" s="83"/>
      <c r="G2475" s="31"/>
      <c r="H2475" s="31"/>
    </row>
    <row r="2476" spans="1:8">
      <c r="A2476" s="31"/>
      <c r="C2476" s="31"/>
      <c r="D2476" s="83"/>
      <c r="E2476" s="83"/>
      <c r="F2476" s="83"/>
      <c r="G2476" s="31"/>
      <c r="H2476" s="31"/>
    </row>
    <row r="2477" spans="1:8">
      <c r="A2477" s="31"/>
      <c r="C2477" s="31"/>
      <c r="D2477" s="83"/>
      <c r="E2477" s="83"/>
      <c r="F2477" s="83"/>
      <c r="G2477" s="31"/>
      <c r="H2477" s="31"/>
    </row>
    <row r="2478" spans="1:8">
      <c r="A2478" s="31"/>
      <c r="C2478" s="31"/>
      <c r="D2478" s="83"/>
      <c r="E2478" s="83"/>
      <c r="F2478" s="83"/>
      <c r="G2478" s="31"/>
      <c r="H2478" s="31"/>
    </row>
    <row r="2479" spans="1:8">
      <c r="A2479" s="31"/>
      <c r="C2479" s="31"/>
      <c r="D2479" s="83"/>
      <c r="E2479" s="83"/>
      <c r="F2479" s="83"/>
      <c r="G2479" s="31"/>
      <c r="H2479" s="31"/>
    </row>
    <row r="2480" spans="1:8">
      <c r="A2480" s="31"/>
      <c r="C2480" s="31"/>
      <c r="D2480" s="83"/>
      <c r="E2480" s="83"/>
      <c r="F2480" s="83"/>
      <c r="G2480" s="31"/>
      <c r="H2480" s="31"/>
    </row>
    <row r="2481" spans="1:8">
      <c r="A2481" s="31"/>
      <c r="C2481" s="31"/>
      <c r="D2481" s="83"/>
      <c r="E2481" s="83"/>
      <c r="F2481" s="83"/>
      <c r="G2481" s="31"/>
      <c r="H2481" s="31"/>
    </row>
    <row r="2482" spans="1:8">
      <c r="A2482" s="31"/>
      <c r="C2482" s="31"/>
      <c r="D2482" s="83"/>
      <c r="E2482" s="83"/>
      <c r="F2482" s="83"/>
      <c r="G2482" s="31"/>
      <c r="H2482" s="31"/>
    </row>
    <row r="2483" spans="1:8">
      <c r="A2483" s="31"/>
      <c r="C2483" s="31"/>
      <c r="D2483" s="83"/>
      <c r="E2483" s="83"/>
      <c r="F2483" s="83"/>
      <c r="G2483" s="31"/>
      <c r="H2483" s="31"/>
    </row>
    <row r="2484" spans="1:8">
      <c r="A2484" s="31"/>
      <c r="C2484" s="31"/>
      <c r="D2484" s="83"/>
      <c r="E2484" s="83"/>
      <c r="F2484" s="83"/>
      <c r="G2484" s="31"/>
      <c r="H2484" s="31"/>
    </row>
    <row r="2485" spans="1:8">
      <c r="A2485" s="31"/>
      <c r="C2485" s="31"/>
      <c r="D2485" s="83"/>
      <c r="E2485" s="83"/>
      <c r="F2485" s="83"/>
      <c r="G2485" s="31"/>
      <c r="H2485" s="31"/>
    </row>
    <row r="2486" spans="1:8">
      <c r="A2486" s="31"/>
      <c r="C2486" s="31"/>
      <c r="D2486" s="83"/>
      <c r="E2486" s="83"/>
      <c r="F2486" s="83"/>
      <c r="G2486" s="31"/>
      <c r="H2486" s="31"/>
    </row>
    <row r="2487" spans="1:8">
      <c r="A2487" s="31"/>
      <c r="C2487" s="31"/>
      <c r="D2487" s="83"/>
      <c r="E2487" s="83"/>
      <c r="F2487" s="83"/>
      <c r="G2487" s="31"/>
      <c r="H2487" s="31"/>
    </row>
    <row r="2488" spans="1:8">
      <c r="A2488" s="31"/>
      <c r="C2488" s="31"/>
      <c r="D2488" s="83"/>
      <c r="E2488" s="83"/>
      <c r="F2488" s="83"/>
      <c r="G2488" s="31"/>
      <c r="H2488" s="31"/>
    </row>
    <row r="2489" spans="1:8">
      <c r="A2489" s="31"/>
      <c r="C2489" s="31"/>
      <c r="D2489" s="83"/>
      <c r="E2489" s="83"/>
      <c r="F2489" s="83"/>
      <c r="G2489" s="31"/>
      <c r="H2489" s="31"/>
    </row>
    <row r="2490" spans="1:8">
      <c r="A2490" s="31"/>
      <c r="C2490" s="31"/>
      <c r="D2490" s="83"/>
      <c r="E2490" s="83"/>
      <c r="F2490" s="83"/>
      <c r="G2490" s="31"/>
      <c r="H2490" s="31"/>
    </row>
    <row r="2491" spans="1:8">
      <c r="A2491" s="31"/>
      <c r="C2491" s="31"/>
      <c r="D2491" s="83"/>
      <c r="E2491" s="83"/>
      <c r="F2491" s="83"/>
      <c r="G2491" s="31"/>
      <c r="H2491" s="31"/>
    </row>
    <row r="2492" spans="1:8">
      <c r="A2492" s="31"/>
      <c r="C2492" s="31"/>
      <c r="D2492" s="83"/>
      <c r="E2492" s="83"/>
      <c r="F2492" s="83"/>
      <c r="G2492" s="31"/>
      <c r="H2492" s="31"/>
    </row>
    <row r="2493" spans="1:8">
      <c r="A2493" s="31"/>
      <c r="C2493" s="31"/>
      <c r="D2493" s="83"/>
      <c r="E2493" s="83"/>
      <c r="F2493" s="83"/>
      <c r="G2493" s="31"/>
      <c r="H2493" s="31"/>
    </row>
    <row r="2494" spans="1:8">
      <c r="A2494" s="31"/>
      <c r="C2494" s="31"/>
      <c r="D2494" s="83"/>
      <c r="E2494" s="83"/>
      <c r="F2494" s="83"/>
      <c r="G2494" s="31"/>
      <c r="H2494" s="31"/>
    </row>
    <row r="2495" spans="1:8">
      <c r="A2495" s="31"/>
      <c r="C2495" s="31"/>
      <c r="D2495" s="83"/>
      <c r="E2495" s="83"/>
      <c r="F2495" s="83"/>
      <c r="G2495" s="31"/>
      <c r="H2495" s="31"/>
    </row>
    <row r="2496" spans="1:8">
      <c r="A2496" s="31"/>
      <c r="C2496" s="31"/>
      <c r="D2496" s="83"/>
      <c r="E2496" s="83"/>
      <c r="F2496" s="83"/>
      <c r="G2496" s="31"/>
      <c r="H2496" s="31"/>
    </row>
    <row r="2497" spans="1:8">
      <c r="A2497" s="31"/>
      <c r="C2497" s="31"/>
      <c r="D2497" s="83"/>
      <c r="E2497" s="83"/>
      <c r="F2497" s="83"/>
      <c r="G2497" s="31"/>
      <c r="H2497" s="31"/>
    </row>
    <row r="2498" spans="1:8">
      <c r="A2498" s="31"/>
      <c r="C2498" s="31"/>
      <c r="D2498" s="83"/>
      <c r="E2498" s="83"/>
      <c r="F2498" s="83"/>
      <c r="G2498" s="31"/>
      <c r="H2498" s="31"/>
    </row>
    <row r="2499" spans="1:8">
      <c r="A2499" s="31"/>
      <c r="C2499" s="31"/>
      <c r="D2499" s="83"/>
      <c r="E2499" s="83"/>
      <c r="F2499" s="83"/>
      <c r="G2499" s="31"/>
      <c r="H2499" s="31"/>
    </row>
    <row r="2500" spans="1:8">
      <c r="A2500" s="31"/>
      <c r="C2500" s="31"/>
      <c r="D2500" s="83"/>
      <c r="E2500" s="83"/>
      <c r="F2500" s="83"/>
      <c r="G2500" s="31"/>
      <c r="H2500" s="31"/>
    </row>
    <row r="2501" spans="1:8">
      <c r="A2501" s="31"/>
      <c r="C2501" s="31"/>
      <c r="D2501" s="83"/>
      <c r="E2501" s="83"/>
      <c r="F2501" s="83"/>
      <c r="G2501" s="31"/>
      <c r="H2501" s="31"/>
    </row>
    <row r="2502" spans="1:8">
      <c r="A2502" s="31"/>
      <c r="C2502" s="31"/>
      <c r="D2502" s="83"/>
      <c r="E2502" s="83"/>
      <c r="F2502" s="83"/>
      <c r="G2502" s="31"/>
      <c r="H2502" s="31"/>
    </row>
    <row r="2503" spans="1:8">
      <c r="A2503" s="31"/>
      <c r="C2503" s="31"/>
      <c r="D2503" s="83"/>
      <c r="E2503" s="83"/>
      <c r="F2503" s="83"/>
      <c r="G2503" s="31"/>
      <c r="H2503" s="31"/>
    </row>
    <row r="2504" spans="1:8">
      <c r="A2504" s="31"/>
      <c r="C2504" s="31"/>
      <c r="D2504" s="83"/>
      <c r="E2504" s="83"/>
      <c r="F2504" s="83"/>
      <c r="G2504" s="31"/>
      <c r="H2504" s="31"/>
    </row>
    <row r="2505" spans="1:8">
      <c r="A2505" s="31"/>
      <c r="C2505" s="31"/>
      <c r="D2505" s="83"/>
      <c r="E2505" s="83"/>
      <c r="F2505" s="83"/>
      <c r="G2505" s="31"/>
      <c r="H2505" s="31"/>
    </row>
    <row r="2506" spans="1:8">
      <c r="A2506" s="31"/>
      <c r="C2506" s="31"/>
      <c r="D2506" s="83"/>
      <c r="E2506" s="83"/>
      <c r="F2506" s="83"/>
      <c r="G2506" s="31"/>
      <c r="H2506" s="31"/>
    </row>
    <row r="2507" spans="1:8">
      <c r="A2507" s="31"/>
      <c r="C2507" s="31"/>
      <c r="D2507" s="83"/>
      <c r="E2507" s="83"/>
      <c r="F2507" s="83"/>
      <c r="G2507" s="31"/>
      <c r="H2507" s="31"/>
    </row>
    <row r="2508" spans="1:8">
      <c r="A2508" s="31"/>
      <c r="C2508" s="31"/>
      <c r="D2508" s="83"/>
      <c r="E2508" s="83"/>
      <c r="F2508" s="83"/>
      <c r="G2508" s="31"/>
      <c r="H2508" s="31"/>
    </row>
    <row r="2509" spans="1:8">
      <c r="A2509" s="31"/>
      <c r="C2509" s="31"/>
      <c r="D2509" s="83"/>
      <c r="E2509" s="83"/>
      <c r="F2509" s="83"/>
      <c r="G2509" s="31"/>
      <c r="H2509" s="31"/>
    </row>
    <row r="2510" spans="1:8">
      <c r="A2510" s="31"/>
      <c r="C2510" s="31"/>
      <c r="D2510" s="83"/>
      <c r="E2510" s="83"/>
      <c r="F2510" s="83"/>
      <c r="G2510" s="31"/>
      <c r="H2510" s="31"/>
    </row>
    <row r="2511" spans="1:8">
      <c r="A2511" s="31"/>
      <c r="C2511" s="31"/>
      <c r="D2511" s="83"/>
      <c r="E2511" s="83"/>
      <c r="F2511" s="83"/>
      <c r="G2511" s="31"/>
      <c r="H2511" s="31"/>
    </row>
    <row r="2512" spans="1:8">
      <c r="A2512" s="31"/>
      <c r="C2512" s="31"/>
      <c r="D2512" s="83"/>
      <c r="E2512" s="83"/>
      <c r="F2512" s="83"/>
      <c r="G2512" s="31"/>
      <c r="H2512" s="31"/>
    </row>
    <row r="2513" spans="1:8">
      <c r="A2513" s="31"/>
      <c r="C2513" s="31"/>
      <c r="D2513" s="83"/>
      <c r="E2513" s="83"/>
      <c r="F2513" s="83"/>
      <c r="G2513" s="31"/>
      <c r="H2513" s="31"/>
    </row>
    <row r="2514" spans="1:8">
      <c r="A2514" s="31"/>
      <c r="C2514" s="31"/>
      <c r="D2514" s="83"/>
      <c r="E2514" s="83"/>
      <c r="F2514" s="83"/>
      <c r="G2514" s="31"/>
      <c r="H2514" s="31"/>
    </row>
    <row r="2515" spans="1:8">
      <c r="A2515" s="31"/>
      <c r="C2515" s="31"/>
      <c r="D2515" s="83"/>
      <c r="E2515" s="83"/>
      <c r="F2515" s="83"/>
      <c r="G2515" s="31"/>
      <c r="H2515" s="31"/>
    </row>
    <row r="2516" spans="1:8">
      <c r="A2516" s="31"/>
      <c r="C2516" s="31"/>
      <c r="D2516" s="83"/>
      <c r="E2516" s="83"/>
      <c r="F2516" s="83"/>
      <c r="G2516" s="31"/>
      <c r="H2516" s="31"/>
    </row>
    <row r="2517" spans="1:8">
      <c r="A2517" s="31"/>
      <c r="C2517" s="31"/>
      <c r="D2517" s="83"/>
      <c r="E2517" s="83"/>
      <c r="F2517" s="83"/>
      <c r="G2517" s="31"/>
      <c r="H2517" s="31"/>
    </row>
    <row r="2518" spans="1:8">
      <c r="A2518" s="31"/>
      <c r="C2518" s="31"/>
      <c r="D2518" s="83"/>
      <c r="E2518" s="83"/>
      <c r="F2518" s="83"/>
      <c r="G2518" s="31"/>
      <c r="H2518" s="31"/>
    </row>
    <row r="2519" spans="1:8">
      <c r="A2519" s="31"/>
      <c r="C2519" s="31"/>
      <c r="D2519" s="83"/>
      <c r="E2519" s="83"/>
      <c r="F2519" s="83"/>
      <c r="G2519" s="31"/>
      <c r="H2519" s="31"/>
    </row>
    <row r="2520" spans="1:8">
      <c r="A2520" s="31"/>
      <c r="C2520" s="31"/>
      <c r="D2520" s="83"/>
      <c r="E2520" s="83"/>
      <c r="F2520" s="83"/>
      <c r="G2520" s="31"/>
      <c r="H2520" s="31"/>
    </row>
    <row r="2521" spans="1:8">
      <c r="A2521" s="31"/>
      <c r="C2521" s="31"/>
      <c r="D2521" s="83"/>
      <c r="E2521" s="83"/>
      <c r="F2521" s="83"/>
      <c r="G2521" s="31"/>
      <c r="H2521" s="31"/>
    </row>
    <row r="2522" spans="1:8">
      <c r="A2522" s="31"/>
      <c r="C2522" s="31"/>
      <c r="D2522" s="83"/>
      <c r="E2522" s="83"/>
      <c r="F2522" s="83"/>
      <c r="G2522" s="31"/>
      <c r="H2522" s="31"/>
    </row>
    <row r="2523" spans="1:8">
      <c r="A2523" s="31"/>
      <c r="C2523" s="31"/>
      <c r="D2523" s="83"/>
      <c r="E2523" s="83"/>
      <c r="F2523" s="83"/>
      <c r="G2523" s="31"/>
      <c r="H2523" s="31"/>
    </row>
    <row r="2524" spans="1:8">
      <c r="A2524" s="31"/>
      <c r="C2524" s="31"/>
      <c r="D2524" s="83"/>
      <c r="E2524" s="83"/>
      <c r="F2524" s="83"/>
      <c r="G2524" s="31"/>
      <c r="H2524" s="31"/>
    </row>
    <row r="2525" spans="1:8">
      <c r="A2525" s="31"/>
      <c r="C2525" s="31"/>
      <c r="D2525" s="83"/>
      <c r="E2525" s="83"/>
      <c r="F2525" s="83"/>
      <c r="G2525" s="31"/>
      <c r="H2525" s="31"/>
    </row>
    <row r="2526" spans="1:8">
      <c r="A2526" s="31"/>
      <c r="C2526" s="31"/>
      <c r="D2526" s="83"/>
      <c r="E2526" s="83"/>
      <c r="F2526" s="83"/>
      <c r="G2526" s="31"/>
      <c r="H2526" s="31"/>
    </row>
    <row r="2527" spans="1:8">
      <c r="A2527" s="31"/>
      <c r="C2527" s="31"/>
      <c r="D2527" s="83"/>
      <c r="E2527" s="83"/>
      <c r="F2527" s="83"/>
      <c r="G2527" s="31"/>
      <c r="H2527" s="31"/>
    </row>
    <row r="2528" spans="1:8">
      <c r="A2528" s="31"/>
      <c r="C2528" s="31"/>
      <c r="D2528" s="83"/>
      <c r="E2528" s="83"/>
      <c r="F2528" s="83"/>
      <c r="G2528" s="31"/>
      <c r="H2528" s="31"/>
    </row>
    <row r="2529" spans="1:8">
      <c r="A2529" s="31"/>
      <c r="C2529" s="31"/>
      <c r="D2529" s="83"/>
      <c r="E2529" s="83"/>
      <c r="F2529" s="83"/>
      <c r="G2529" s="31"/>
      <c r="H2529" s="31"/>
    </row>
    <row r="2530" spans="1:8">
      <c r="A2530" s="31"/>
      <c r="C2530" s="31"/>
      <c r="D2530" s="83"/>
      <c r="E2530" s="83"/>
      <c r="F2530" s="83"/>
      <c r="G2530" s="31"/>
      <c r="H2530" s="31"/>
    </row>
    <row r="2531" spans="1:8">
      <c r="A2531" s="31"/>
      <c r="C2531" s="31"/>
      <c r="D2531" s="83"/>
      <c r="E2531" s="83"/>
      <c r="F2531" s="83"/>
      <c r="G2531" s="31"/>
      <c r="H2531" s="31"/>
    </row>
    <row r="2532" spans="1:8">
      <c r="A2532" s="31"/>
      <c r="C2532" s="31"/>
      <c r="D2532" s="83"/>
      <c r="E2532" s="83"/>
      <c r="F2532" s="83"/>
      <c r="G2532" s="31"/>
      <c r="H2532" s="31"/>
    </row>
    <row r="2533" spans="1:8">
      <c r="A2533" s="31"/>
      <c r="C2533" s="31"/>
      <c r="D2533" s="83"/>
      <c r="E2533" s="83"/>
      <c r="F2533" s="83"/>
      <c r="G2533" s="31"/>
      <c r="H2533" s="31"/>
    </row>
    <row r="2534" spans="1:8">
      <c r="A2534" s="31"/>
      <c r="C2534" s="31"/>
      <c r="D2534" s="83"/>
      <c r="E2534" s="83"/>
      <c r="F2534" s="83"/>
      <c r="G2534" s="31"/>
      <c r="H2534" s="31"/>
    </row>
    <row r="2535" spans="1:8">
      <c r="A2535" s="31"/>
      <c r="C2535" s="31"/>
      <c r="D2535" s="83"/>
      <c r="E2535" s="83"/>
      <c r="F2535" s="83"/>
      <c r="G2535" s="31"/>
      <c r="H2535" s="31"/>
    </row>
    <row r="2536" spans="1:8">
      <c r="A2536" s="31"/>
      <c r="C2536" s="31"/>
      <c r="D2536" s="83"/>
      <c r="E2536" s="83"/>
      <c r="F2536" s="83"/>
      <c r="G2536" s="31"/>
      <c r="H2536" s="31"/>
    </row>
    <row r="2537" spans="1:8">
      <c r="A2537" s="31"/>
      <c r="C2537" s="31"/>
      <c r="D2537" s="83"/>
      <c r="E2537" s="83"/>
      <c r="F2537" s="83"/>
      <c r="G2537" s="31"/>
      <c r="H2537" s="31"/>
    </row>
    <row r="2538" spans="1:8">
      <c r="A2538" s="31"/>
      <c r="C2538" s="31"/>
      <c r="D2538" s="83"/>
      <c r="E2538" s="83"/>
      <c r="F2538" s="83"/>
      <c r="G2538" s="31"/>
      <c r="H2538" s="31"/>
    </row>
    <row r="2539" spans="1:8">
      <c r="A2539" s="31"/>
      <c r="C2539" s="31"/>
      <c r="D2539" s="83"/>
      <c r="E2539" s="83"/>
      <c r="F2539" s="83"/>
      <c r="G2539" s="31"/>
      <c r="H2539" s="31"/>
    </row>
    <row r="2540" spans="1:8">
      <c r="A2540" s="31"/>
      <c r="C2540" s="31"/>
      <c r="D2540" s="83"/>
      <c r="E2540" s="83"/>
      <c r="F2540" s="83"/>
      <c r="G2540" s="31"/>
      <c r="H2540" s="31"/>
    </row>
    <row r="2541" spans="1:8">
      <c r="A2541" s="31"/>
      <c r="C2541" s="31"/>
      <c r="D2541" s="83"/>
      <c r="E2541" s="83"/>
      <c r="F2541" s="83"/>
      <c r="G2541" s="31"/>
      <c r="H2541" s="31"/>
    </row>
    <row r="2542" spans="1:8">
      <c r="A2542" s="31"/>
      <c r="C2542" s="31"/>
      <c r="D2542" s="83"/>
      <c r="E2542" s="83"/>
      <c r="F2542" s="83"/>
      <c r="G2542" s="31"/>
      <c r="H2542" s="31"/>
    </row>
    <row r="2543" spans="1:8">
      <c r="A2543" s="31"/>
      <c r="C2543" s="31"/>
      <c r="D2543" s="83"/>
      <c r="E2543" s="83"/>
      <c r="F2543" s="83"/>
      <c r="G2543" s="31"/>
      <c r="H2543" s="31"/>
    </row>
    <row r="2544" spans="1:8">
      <c r="A2544" s="31"/>
      <c r="C2544" s="31"/>
      <c r="D2544" s="83"/>
      <c r="E2544" s="83"/>
      <c r="F2544" s="83"/>
      <c r="G2544" s="31"/>
      <c r="H2544" s="31"/>
    </row>
    <row r="2545" spans="1:8">
      <c r="A2545" s="31"/>
      <c r="C2545" s="31"/>
      <c r="D2545" s="83"/>
      <c r="E2545" s="83"/>
      <c r="F2545" s="83"/>
      <c r="G2545" s="31"/>
      <c r="H2545" s="31"/>
    </row>
    <row r="2546" spans="1:8">
      <c r="A2546" s="31"/>
      <c r="C2546" s="31"/>
      <c r="D2546" s="83"/>
      <c r="E2546" s="83"/>
      <c r="F2546" s="83"/>
      <c r="G2546" s="31"/>
      <c r="H2546" s="31"/>
    </row>
    <row r="2547" spans="1:8">
      <c r="A2547" s="31"/>
      <c r="C2547" s="31"/>
      <c r="D2547" s="83"/>
      <c r="E2547" s="83"/>
      <c r="F2547" s="83"/>
      <c r="G2547" s="31"/>
      <c r="H2547" s="31"/>
    </row>
    <row r="2548" spans="1:8">
      <c r="A2548" s="31"/>
      <c r="C2548" s="31"/>
      <c r="D2548" s="83"/>
      <c r="E2548" s="83"/>
      <c r="F2548" s="83"/>
      <c r="G2548" s="31"/>
      <c r="H2548" s="31"/>
    </row>
    <row r="2549" spans="1:8">
      <c r="A2549" s="31"/>
      <c r="C2549" s="31"/>
      <c r="D2549" s="83"/>
      <c r="E2549" s="83"/>
      <c r="F2549" s="83"/>
      <c r="G2549" s="31"/>
      <c r="H2549" s="31"/>
    </row>
    <row r="2550" spans="1:8">
      <c r="A2550" s="31"/>
      <c r="C2550" s="31"/>
      <c r="D2550" s="83"/>
      <c r="E2550" s="83"/>
      <c r="F2550" s="83"/>
      <c r="G2550" s="31"/>
      <c r="H2550" s="31"/>
    </row>
    <row r="2551" spans="1:8">
      <c r="A2551" s="31"/>
      <c r="C2551" s="31"/>
      <c r="D2551" s="83"/>
      <c r="E2551" s="83"/>
      <c r="F2551" s="83"/>
      <c r="G2551" s="31"/>
      <c r="H2551" s="31"/>
    </row>
    <row r="2552" spans="1:8">
      <c r="A2552" s="31"/>
      <c r="C2552" s="31"/>
      <c r="D2552" s="83"/>
      <c r="E2552" s="83"/>
      <c r="F2552" s="83"/>
      <c r="G2552" s="31"/>
      <c r="H2552" s="31"/>
    </row>
    <row r="2553" spans="1:8">
      <c r="A2553" s="31"/>
      <c r="C2553" s="31"/>
      <c r="D2553" s="83"/>
      <c r="E2553" s="83"/>
      <c r="F2553" s="83"/>
      <c r="G2553" s="31"/>
      <c r="H2553" s="31"/>
    </row>
    <row r="2554" spans="1:8">
      <c r="A2554" s="31"/>
      <c r="C2554" s="31"/>
      <c r="D2554" s="83"/>
      <c r="E2554" s="83"/>
      <c r="F2554" s="83"/>
      <c r="G2554" s="31"/>
      <c r="H2554" s="31"/>
    </row>
    <row r="2555" spans="1:8">
      <c r="A2555" s="31"/>
      <c r="C2555" s="31"/>
      <c r="D2555" s="83"/>
      <c r="E2555" s="83"/>
      <c r="F2555" s="83"/>
      <c r="G2555" s="31"/>
      <c r="H2555" s="31"/>
    </row>
    <row r="2556" spans="1:8">
      <c r="A2556" s="31"/>
      <c r="C2556" s="31"/>
      <c r="D2556" s="83"/>
      <c r="E2556" s="83"/>
      <c r="F2556" s="83"/>
      <c r="G2556" s="31"/>
      <c r="H2556" s="31"/>
    </row>
    <row r="2557" spans="1:8">
      <c r="A2557" s="31"/>
      <c r="C2557" s="31"/>
      <c r="D2557" s="83"/>
      <c r="E2557" s="83"/>
      <c r="F2557" s="83"/>
      <c r="G2557" s="31"/>
      <c r="H2557" s="31"/>
    </row>
    <row r="2558" spans="1:8">
      <c r="A2558" s="31"/>
      <c r="C2558" s="31"/>
      <c r="D2558" s="83"/>
      <c r="E2558" s="83"/>
      <c r="F2558" s="83"/>
      <c r="G2558" s="31"/>
      <c r="H2558" s="31"/>
    </row>
    <row r="2559" spans="1:8">
      <c r="A2559" s="31"/>
      <c r="C2559" s="31"/>
      <c r="D2559" s="83"/>
      <c r="E2559" s="83"/>
      <c r="F2559" s="83"/>
      <c r="G2559" s="31"/>
      <c r="H2559" s="31"/>
    </row>
    <row r="2560" spans="1:8">
      <c r="A2560" s="31"/>
      <c r="C2560" s="31"/>
      <c r="D2560" s="83"/>
      <c r="E2560" s="83"/>
      <c r="F2560" s="83"/>
      <c r="G2560" s="31"/>
      <c r="H2560" s="31"/>
    </row>
    <row r="2561" spans="1:8">
      <c r="A2561" s="31"/>
      <c r="C2561" s="31"/>
      <c r="D2561" s="83"/>
      <c r="E2561" s="83"/>
      <c r="F2561" s="83"/>
      <c r="G2561" s="31"/>
      <c r="H2561" s="31"/>
    </row>
    <row r="2562" spans="1:8">
      <c r="A2562" s="31"/>
      <c r="C2562" s="31"/>
      <c r="D2562" s="83"/>
      <c r="E2562" s="83"/>
      <c r="F2562" s="83"/>
      <c r="G2562" s="31"/>
      <c r="H2562" s="31"/>
    </row>
    <row r="2563" spans="1:8">
      <c r="A2563" s="31"/>
      <c r="C2563" s="31"/>
      <c r="D2563" s="83"/>
      <c r="E2563" s="83"/>
      <c r="F2563" s="83"/>
      <c r="G2563" s="31"/>
      <c r="H2563" s="31"/>
    </row>
    <row r="2564" spans="1:8">
      <c r="A2564" s="31"/>
      <c r="C2564" s="31"/>
      <c r="D2564" s="83"/>
      <c r="E2564" s="83"/>
      <c r="F2564" s="83"/>
      <c r="G2564" s="31"/>
      <c r="H2564" s="31"/>
    </row>
    <row r="2565" spans="1:8">
      <c r="A2565" s="31"/>
      <c r="C2565" s="31"/>
      <c r="D2565" s="83"/>
      <c r="E2565" s="83"/>
      <c r="F2565" s="83"/>
      <c r="G2565" s="31"/>
      <c r="H2565" s="31"/>
    </row>
    <row r="2566" spans="1:8">
      <c r="A2566" s="31"/>
      <c r="C2566" s="31"/>
      <c r="D2566" s="83"/>
      <c r="E2566" s="83"/>
      <c r="F2566" s="83"/>
      <c r="G2566" s="31"/>
      <c r="H2566" s="31"/>
    </row>
    <row r="2567" spans="1:8">
      <c r="A2567" s="31"/>
      <c r="C2567" s="31"/>
      <c r="D2567" s="83"/>
      <c r="E2567" s="83"/>
      <c r="F2567" s="83"/>
      <c r="G2567" s="31"/>
      <c r="H2567" s="31"/>
    </row>
    <row r="2568" spans="1:8">
      <c r="A2568" s="31"/>
      <c r="C2568" s="31"/>
      <c r="D2568" s="83"/>
      <c r="E2568" s="83"/>
      <c r="F2568" s="83"/>
      <c r="G2568" s="31"/>
      <c r="H2568" s="31"/>
    </row>
    <row r="2569" spans="1:8">
      <c r="A2569" s="31"/>
      <c r="C2569" s="31"/>
      <c r="D2569" s="83"/>
      <c r="E2569" s="83"/>
      <c r="F2569" s="83"/>
      <c r="G2569" s="31"/>
      <c r="H2569" s="31"/>
    </row>
    <row r="2570" spans="1:8">
      <c r="A2570" s="31"/>
      <c r="C2570" s="31"/>
      <c r="D2570" s="83"/>
      <c r="E2570" s="83"/>
      <c r="F2570" s="83"/>
      <c r="G2570" s="31"/>
      <c r="H2570" s="31"/>
    </row>
    <row r="2571" spans="1:8">
      <c r="A2571" s="31"/>
      <c r="C2571" s="31"/>
      <c r="D2571" s="83"/>
      <c r="E2571" s="83"/>
      <c r="F2571" s="83"/>
      <c r="G2571" s="31"/>
      <c r="H2571" s="31"/>
    </row>
    <row r="2572" spans="1:8">
      <c r="A2572" s="31"/>
      <c r="C2572" s="31"/>
      <c r="D2572" s="83"/>
      <c r="E2572" s="83"/>
      <c r="F2572" s="83"/>
      <c r="G2572" s="31"/>
      <c r="H2572" s="31"/>
    </row>
    <row r="2573" spans="1:8">
      <c r="A2573" s="31"/>
      <c r="C2573" s="31"/>
      <c r="D2573" s="83"/>
      <c r="E2573" s="83"/>
      <c r="F2573" s="83"/>
      <c r="G2573" s="31"/>
      <c r="H2573" s="31"/>
    </row>
    <row r="2574" spans="1:8">
      <c r="A2574" s="31"/>
      <c r="C2574" s="31"/>
      <c r="D2574" s="83"/>
      <c r="E2574" s="83"/>
      <c r="F2574" s="83"/>
      <c r="G2574" s="31"/>
      <c r="H2574" s="31"/>
    </row>
    <row r="2575" spans="1:8">
      <c r="A2575" s="31"/>
      <c r="C2575" s="31"/>
      <c r="D2575" s="83"/>
      <c r="E2575" s="83"/>
      <c r="F2575" s="83"/>
      <c r="G2575" s="31"/>
      <c r="H2575" s="31"/>
    </row>
    <row r="2576" spans="1:8">
      <c r="A2576" s="31"/>
      <c r="C2576" s="31"/>
      <c r="D2576" s="83"/>
      <c r="E2576" s="83"/>
      <c r="F2576" s="83"/>
      <c r="G2576" s="31"/>
      <c r="H2576" s="31"/>
    </row>
    <row r="2577" spans="1:8">
      <c r="A2577" s="31"/>
      <c r="C2577" s="31"/>
      <c r="D2577" s="83"/>
      <c r="E2577" s="83"/>
      <c r="F2577" s="83"/>
      <c r="G2577" s="31"/>
      <c r="H2577" s="31"/>
    </row>
    <row r="2578" spans="1:8">
      <c r="A2578" s="31"/>
      <c r="C2578" s="31"/>
      <c r="D2578" s="83"/>
      <c r="E2578" s="83"/>
      <c r="F2578" s="83"/>
      <c r="G2578" s="31"/>
      <c r="H2578" s="31"/>
    </row>
    <row r="2579" spans="1:8">
      <c r="A2579" s="31"/>
      <c r="C2579" s="31"/>
      <c r="D2579" s="83"/>
      <c r="E2579" s="83"/>
      <c r="F2579" s="83"/>
      <c r="G2579" s="31"/>
      <c r="H2579" s="31"/>
    </row>
    <row r="2580" spans="1:8">
      <c r="A2580" s="31"/>
      <c r="C2580" s="31"/>
      <c r="D2580" s="83"/>
      <c r="E2580" s="83"/>
      <c r="F2580" s="83"/>
      <c r="G2580" s="31"/>
      <c r="H2580" s="31"/>
    </row>
    <row r="2581" spans="1:8">
      <c r="A2581" s="31"/>
      <c r="C2581" s="31"/>
      <c r="D2581" s="83"/>
      <c r="E2581" s="83"/>
      <c r="F2581" s="83"/>
      <c r="G2581" s="31"/>
      <c r="H2581" s="31"/>
    </row>
    <row r="2582" spans="1:8">
      <c r="A2582" s="31"/>
      <c r="C2582" s="31"/>
      <c r="D2582" s="83"/>
      <c r="E2582" s="83"/>
      <c r="F2582" s="83"/>
      <c r="G2582" s="31"/>
      <c r="H2582" s="31"/>
    </row>
    <row r="2583" spans="1:8">
      <c r="A2583" s="31"/>
      <c r="C2583" s="31"/>
      <c r="D2583" s="83"/>
      <c r="E2583" s="83"/>
      <c r="F2583" s="83"/>
      <c r="G2583" s="31"/>
      <c r="H2583" s="31"/>
    </row>
    <row r="2584" spans="1:8">
      <c r="A2584" s="31"/>
      <c r="C2584" s="31"/>
      <c r="D2584" s="83"/>
      <c r="E2584" s="83"/>
      <c r="F2584" s="83"/>
      <c r="G2584" s="31"/>
      <c r="H2584" s="31"/>
    </row>
    <row r="2585" spans="1:8">
      <c r="A2585" s="31"/>
      <c r="C2585" s="31"/>
      <c r="D2585" s="83"/>
      <c r="E2585" s="83"/>
      <c r="F2585" s="83"/>
      <c r="G2585" s="31"/>
      <c r="H2585" s="31"/>
    </row>
    <row r="2586" spans="1:8">
      <c r="A2586" s="31"/>
      <c r="C2586" s="31"/>
      <c r="D2586" s="83"/>
      <c r="E2586" s="83"/>
      <c r="F2586" s="83"/>
      <c r="G2586" s="31"/>
      <c r="H2586" s="31"/>
    </row>
    <row r="2587" spans="1:8">
      <c r="A2587" s="31"/>
      <c r="C2587" s="31"/>
      <c r="D2587" s="83"/>
      <c r="E2587" s="83"/>
      <c r="F2587" s="83"/>
      <c r="G2587" s="31"/>
      <c r="H2587" s="31"/>
    </row>
    <row r="2588" spans="1:8">
      <c r="A2588" s="31"/>
      <c r="C2588" s="31"/>
      <c r="D2588" s="83"/>
      <c r="E2588" s="83"/>
      <c r="F2588" s="83"/>
      <c r="G2588" s="31"/>
      <c r="H2588" s="31"/>
    </row>
    <row r="2589" spans="1:8">
      <c r="A2589" s="31"/>
      <c r="C2589" s="31"/>
      <c r="D2589" s="83"/>
      <c r="E2589" s="83"/>
      <c r="F2589" s="83"/>
      <c r="G2589" s="31"/>
      <c r="H2589" s="31"/>
    </row>
    <row r="2590" spans="1:8">
      <c r="A2590" s="31"/>
      <c r="C2590" s="31"/>
      <c r="D2590" s="83"/>
      <c r="E2590" s="83"/>
      <c r="F2590" s="83"/>
      <c r="G2590" s="31"/>
      <c r="H2590" s="31"/>
    </row>
    <row r="2591" spans="1:8">
      <c r="A2591" s="31"/>
      <c r="C2591" s="31"/>
      <c r="D2591" s="83"/>
      <c r="E2591" s="83"/>
      <c r="F2591" s="83"/>
      <c r="G2591" s="31"/>
      <c r="H2591" s="31"/>
    </row>
    <row r="2592" spans="1:8">
      <c r="A2592" s="31"/>
      <c r="C2592" s="31"/>
      <c r="D2592" s="83"/>
      <c r="E2592" s="83"/>
      <c r="F2592" s="83"/>
      <c r="G2592" s="31"/>
      <c r="H2592" s="31"/>
    </row>
    <row r="2593" spans="1:8">
      <c r="A2593" s="31"/>
      <c r="C2593" s="31"/>
      <c r="D2593" s="83"/>
      <c r="E2593" s="83"/>
      <c r="F2593" s="83"/>
      <c r="G2593" s="31"/>
      <c r="H2593" s="31"/>
    </row>
    <row r="2594" spans="1:8">
      <c r="A2594" s="31"/>
      <c r="C2594" s="31"/>
      <c r="D2594" s="83"/>
      <c r="E2594" s="83"/>
      <c r="F2594" s="83"/>
      <c r="G2594" s="31"/>
      <c r="H2594" s="31"/>
    </row>
    <row r="2595" spans="1:8">
      <c r="A2595" s="31"/>
      <c r="C2595" s="31"/>
      <c r="D2595" s="83"/>
      <c r="E2595" s="83"/>
      <c r="F2595" s="83"/>
      <c r="G2595" s="31"/>
      <c r="H2595" s="31"/>
    </row>
    <row r="2596" spans="1:8">
      <c r="A2596" s="31"/>
      <c r="C2596" s="31"/>
      <c r="D2596" s="83"/>
      <c r="E2596" s="83"/>
      <c r="F2596" s="83"/>
      <c r="G2596" s="31"/>
      <c r="H2596" s="31"/>
    </row>
    <row r="2597" spans="1:8">
      <c r="A2597" s="31"/>
      <c r="C2597" s="31"/>
      <c r="D2597" s="83"/>
      <c r="E2597" s="83"/>
      <c r="F2597" s="83"/>
      <c r="G2597" s="31"/>
      <c r="H2597" s="31"/>
    </row>
    <row r="2598" spans="1:8">
      <c r="A2598" s="31"/>
      <c r="C2598" s="31"/>
      <c r="D2598" s="83"/>
      <c r="E2598" s="83"/>
      <c r="F2598" s="83"/>
      <c r="G2598" s="31"/>
      <c r="H2598" s="31"/>
    </row>
    <row r="2599" spans="1:8">
      <c r="A2599" s="31"/>
      <c r="C2599" s="31"/>
      <c r="D2599" s="83"/>
      <c r="E2599" s="83"/>
      <c r="F2599" s="83"/>
      <c r="G2599" s="31"/>
      <c r="H2599" s="31"/>
    </row>
    <row r="2600" spans="1:8">
      <c r="A2600" s="31"/>
      <c r="C2600" s="31"/>
      <c r="D2600" s="83"/>
      <c r="E2600" s="83"/>
      <c r="F2600" s="83"/>
      <c r="G2600" s="31"/>
      <c r="H2600" s="31"/>
    </row>
    <row r="2601" spans="1:8">
      <c r="A2601" s="31"/>
      <c r="C2601" s="31"/>
      <c r="D2601" s="83"/>
      <c r="E2601" s="83"/>
      <c r="F2601" s="83"/>
      <c r="G2601" s="31"/>
      <c r="H2601" s="31"/>
    </row>
    <row r="2602" spans="1:8">
      <c r="A2602" s="31"/>
      <c r="C2602" s="31"/>
      <c r="D2602" s="83"/>
      <c r="E2602" s="83"/>
      <c r="F2602" s="83"/>
      <c r="G2602" s="31"/>
      <c r="H2602" s="31"/>
    </row>
    <row r="2603" spans="1:8">
      <c r="A2603" s="31"/>
      <c r="C2603" s="31"/>
      <c r="D2603" s="83"/>
      <c r="E2603" s="83"/>
      <c r="F2603" s="83"/>
      <c r="G2603" s="31"/>
      <c r="H2603" s="31"/>
    </row>
    <row r="2604" spans="1:8">
      <c r="A2604" s="31"/>
      <c r="C2604" s="31"/>
      <c r="D2604" s="83"/>
      <c r="E2604" s="83"/>
      <c r="F2604" s="83"/>
      <c r="G2604" s="31"/>
      <c r="H2604" s="31"/>
    </row>
    <row r="2605" spans="1:8">
      <c r="A2605" s="31"/>
      <c r="C2605" s="31"/>
      <c r="D2605" s="83"/>
      <c r="E2605" s="83"/>
      <c r="F2605" s="83"/>
      <c r="G2605" s="31"/>
      <c r="H2605" s="31"/>
    </row>
    <row r="2606" spans="1:8">
      <c r="A2606" s="31"/>
      <c r="C2606" s="31"/>
      <c r="D2606" s="83"/>
      <c r="E2606" s="83"/>
      <c r="F2606" s="83"/>
      <c r="G2606" s="31"/>
      <c r="H2606" s="31"/>
    </row>
    <row r="2607" spans="1:8">
      <c r="A2607" s="31"/>
      <c r="C2607" s="31"/>
      <c r="D2607" s="83"/>
      <c r="E2607" s="83"/>
      <c r="F2607" s="83"/>
      <c r="G2607" s="31"/>
      <c r="H2607" s="31"/>
    </row>
    <row r="2608" spans="1:8">
      <c r="A2608" s="31"/>
      <c r="C2608" s="31"/>
      <c r="D2608" s="83"/>
      <c r="E2608" s="83"/>
      <c r="F2608" s="83"/>
      <c r="G2608" s="31"/>
      <c r="H2608" s="31"/>
    </row>
    <row r="2609" spans="1:8">
      <c r="A2609" s="31"/>
      <c r="C2609" s="31"/>
      <c r="D2609" s="83"/>
      <c r="E2609" s="83"/>
      <c r="F2609" s="83"/>
      <c r="G2609" s="31"/>
      <c r="H2609" s="31"/>
    </row>
    <row r="2610" spans="1:8">
      <c r="A2610" s="31"/>
      <c r="C2610" s="31"/>
      <c r="D2610" s="83"/>
      <c r="E2610" s="83"/>
      <c r="F2610" s="83"/>
      <c r="G2610" s="31"/>
      <c r="H2610" s="31"/>
    </row>
    <row r="2611" spans="1:8">
      <c r="A2611" s="31"/>
      <c r="C2611" s="31"/>
      <c r="D2611" s="83"/>
      <c r="E2611" s="83"/>
      <c r="F2611" s="83"/>
      <c r="G2611" s="31"/>
      <c r="H2611" s="31"/>
    </row>
    <row r="2612" spans="1:8">
      <c r="A2612" s="31"/>
      <c r="C2612" s="31"/>
      <c r="D2612" s="83"/>
      <c r="E2612" s="83"/>
      <c r="F2612" s="83"/>
      <c r="G2612" s="31"/>
      <c r="H2612" s="31"/>
    </row>
    <row r="2613" spans="1:8">
      <c r="A2613" s="31"/>
      <c r="C2613" s="31"/>
      <c r="D2613" s="83"/>
      <c r="E2613" s="83"/>
      <c r="F2613" s="83"/>
      <c r="G2613" s="31"/>
      <c r="H2613" s="31"/>
    </row>
    <row r="2614" spans="1:8">
      <c r="A2614" s="31"/>
      <c r="C2614" s="31"/>
      <c r="D2614" s="83"/>
      <c r="E2614" s="83"/>
      <c r="F2614" s="83"/>
      <c r="G2614" s="31"/>
      <c r="H2614" s="31"/>
    </row>
    <row r="2615" spans="1:8">
      <c r="A2615" s="31"/>
      <c r="C2615" s="31"/>
      <c r="D2615" s="83"/>
      <c r="E2615" s="83"/>
      <c r="F2615" s="83"/>
      <c r="G2615" s="31"/>
      <c r="H2615" s="31"/>
    </row>
    <row r="2616" spans="1:8">
      <c r="A2616" s="31"/>
      <c r="C2616" s="31"/>
      <c r="D2616" s="83"/>
      <c r="E2616" s="83"/>
      <c r="F2616" s="83"/>
      <c r="G2616" s="31"/>
      <c r="H2616" s="31"/>
    </row>
    <row r="2617" spans="1:8">
      <c r="A2617" s="31"/>
      <c r="C2617" s="31"/>
      <c r="D2617" s="83"/>
      <c r="E2617" s="83"/>
      <c r="F2617" s="83"/>
      <c r="G2617" s="31"/>
      <c r="H2617" s="31"/>
    </row>
    <row r="2618" spans="1:8">
      <c r="A2618" s="31"/>
      <c r="C2618" s="31"/>
      <c r="D2618" s="83"/>
      <c r="E2618" s="83"/>
      <c r="F2618" s="83"/>
      <c r="G2618" s="31"/>
      <c r="H2618" s="31"/>
    </row>
    <row r="2619" spans="1:8">
      <c r="A2619" s="31"/>
      <c r="C2619" s="31"/>
      <c r="D2619" s="83"/>
      <c r="E2619" s="83"/>
      <c r="F2619" s="83"/>
      <c r="G2619" s="31"/>
      <c r="H2619" s="31"/>
    </row>
    <row r="2620" spans="1:8">
      <c r="A2620" s="31"/>
      <c r="C2620" s="31"/>
      <c r="D2620" s="83"/>
      <c r="E2620" s="83"/>
      <c r="F2620" s="83"/>
      <c r="G2620" s="31"/>
      <c r="H2620" s="31"/>
    </row>
    <row r="2621" spans="1:8">
      <c r="A2621" s="31"/>
      <c r="C2621" s="31"/>
      <c r="D2621" s="83"/>
      <c r="E2621" s="83"/>
      <c r="F2621" s="83"/>
      <c r="G2621" s="31"/>
      <c r="H2621" s="31"/>
    </row>
    <row r="2622" spans="1:8">
      <c r="A2622" s="31"/>
      <c r="C2622" s="31"/>
      <c r="D2622" s="83"/>
      <c r="E2622" s="83"/>
      <c r="F2622" s="83"/>
      <c r="G2622" s="31"/>
      <c r="H2622" s="31"/>
    </row>
    <row r="2623" spans="1:8">
      <c r="A2623" s="31"/>
      <c r="C2623" s="31"/>
      <c r="D2623" s="83"/>
      <c r="E2623" s="83"/>
      <c r="F2623" s="83"/>
      <c r="G2623" s="31"/>
      <c r="H2623" s="31"/>
    </row>
    <row r="2624" spans="1:8">
      <c r="A2624" s="31"/>
      <c r="C2624" s="31"/>
      <c r="D2624" s="83"/>
      <c r="E2624" s="83"/>
      <c r="F2624" s="83"/>
      <c r="G2624" s="31"/>
      <c r="H2624" s="31"/>
    </row>
    <row r="2625" spans="1:8">
      <c r="A2625" s="31"/>
      <c r="C2625" s="31"/>
      <c r="D2625" s="83"/>
      <c r="E2625" s="83"/>
      <c r="F2625" s="83"/>
      <c r="G2625" s="31"/>
      <c r="H2625" s="31"/>
    </row>
    <row r="2626" spans="1:8">
      <c r="A2626" s="31"/>
      <c r="C2626" s="31"/>
      <c r="D2626" s="83"/>
      <c r="E2626" s="83"/>
      <c r="F2626" s="83"/>
      <c r="G2626" s="31"/>
      <c r="H2626" s="31"/>
    </row>
    <row r="2627" spans="1:8">
      <c r="A2627" s="31"/>
      <c r="C2627" s="31"/>
      <c r="D2627" s="83"/>
      <c r="E2627" s="83"/>
      <c r="F2627" s="83"/>
      <c r="G2627" s="31"/>
      <c r="H2627" s="31"/>
    </row>
    <row r="2628" spans="1:8">
      <c r="A2628" s="31"/>
      <c r="C2628" s="31"/>
      <c r="D2628" s="83"/>
      <c r="E2628" s="83"/>
      <c r="F2628" s="83"/>
      <c r="G2628" s="31"/>
      <c r="H2628" s="31"/>
    </row>
    <row r="2629" spans="1:8">
      <c r="A2629" s="31"/>
      <c r="C2629" s="31"/>
      <c r="D2629" s="83"/>
      <c r="E2629" s="83"/>
      <c r="F2629" s="83"/>
      <c r="G2629" s="31"/>
      <c r="H2629" s="31"/>
    </row>
    <row r="2630" spans="1:8">
      <c r="A2630" s="31"/>
      <c r="C2630" s="31"/>
      <c r="D2630" s="83"/>
      <c r="E2630" s="83"/>
      <c r="F2630" s="83"/>
      <c r="G2630" s="31"/>
      <c r="H2630" s="31"/>
    </row>
    <row r="2631" spans="1:8">
      <c r="A2631" s="31"/>
      <c r="C2631" s="31"/>
      <c r="D2631" s="83"/>
      <c r="E2631" s="83"/>
      <c r="F2631" s="83"/>
      <c r="G2631" s="31"/>
      <c r="H2631" s="31"/>
    </row>
    <row r="2632" spans="1:8">
      <c r="A2632" s="31"/>
      <c r="C2632" s="31"/>
      <c r="D2632" s="83"/>
      <c r="E2632" s="83"/>
      <c r="F2632" s="83"/>
      <c r="G2632" s="31"/>
      <c r="H2632" s="31"/>
    </row>
    <row r="2633" spans="1:8">
      <c r="A2633" s="31"/>
      <c r="C2633" s="31"/>
      <c r="D2633" s="83"/>
      <c r="E2633" s="83"/>
      <c r="F2633" s="83"/>
      <c r="G2633" s="31"/>
      <c r="H2633" s="31"/>
    </row>
    <row r="2634" spans="1:8">
      <c r="A2634" s="31"/>
      <c r="C2634" s="31"/>
      <c r="D2634" s="83"/>
      <c r="E2634" s="83"/>
      <c r="F2634" s="83"/>
      <c r="G2634" s="31"/>
      <c r="H2634" s="31"/>
    </row>
    <row r="2635" spans="1:8">
      <c r="A2635" s="31"/>
      <c r="C2635" s="31"/>
      <c r="D2635" s="83"/>
      <c r="E2635" s="83"/>
      <c r="F2635" s="83"/>
      <c r="G2635" s="31"/>
      <c r="H2635" s="31"/>
    </row>
    <row r="2636" spans="1:8">
      <c r="A2636" s="31"/>
      <c r="C2636" s="31"/>
      <c r="D2636" s="83"/>
      <c r="E2636" s="83"/>
      <c r="F2636" s="83"/>
      <c r="G2636" s="31"/>
      <c r="H2636" s="31"/>
    </row>
    <row r="2637" spans="1:8">
      <c r="A2637" s="31"/>
      <c r="C2637" s="31"/>
      <c r="D2637" s="83"/>
      <c r="E2637" s="83"/>
      <c r="F2637" s="83"/>
      <c r="G2637" s="31"/>
      <c r="H2637" s="31"/>
    </row>
    <row r="2638" spans="1:8">
      <c r="A2638" s="31"/>
      <c r="C2638" s="31"/>
      <c r="D2638" s="83"/>
      <c r="E2638" s="83"/>
      <c r="F2638" s="83"/>
      <c r="G2638" s="31"/>
      <c r="H2638" s="31"/>
    </row>
    <row r="2639" spans="1:8">
      <c r="A2639" s="31"/>
      <c r="C2639" s="31"/>
      <c r="D2639" s="83"/>
      <c r="E2639" s="83"/>
      <c r="F2639" s="83"/>
      <c r="G2639" s="31"/>
      <c r="H2639" s="31"/>
    </row>
    <row r="2640" spans="1:8">
      <c r="A2640" s="31"/>
      <c r="C2640" s="31"/>
      <c r="D2640" s="83"/>
      <c r="E2640" s="83"/>
      <c r="F2640" s="83"/>
      <c r="G2640" s="31"/>
      <c r="H2640" s="31"/>
    </row>
    <row r="2641" spans="1:8">
      <c r="A2641" s="31"/>
      <c r="C2641" s="31"/>
      <c r="D2641" s="83"/>
      <c r="E2641" s="83"/>
      <c r="F2641" s="83"/>
      <c r="G2641" s="31"/>
      <c r="H2641" s="31"/>
    </row>
    <row r="2642" spans="1:8">
      <c r="A2642" s="31"/>
      <c r="C2642" s="31"/>
      <c r="D2642" s="83"/>
      <c r="E2642" s="83"/>
      <c r="F2642" s="83"/>
      <c r="G2642" s="31"/>
      <c r="H2642" s="31"/>
    </row>
    <row r="2643" spans="1:8">
      <c r="A2643" s="31"/>
      <c r="C2643" s="31"/>
      <c r="D2643" s="83"/>
      <c r="E2643" s="83"/>
      <c r="F2643" s="83"/>
      <c r="G2643" s="31"/>
      <c r="H2643" s="31"/>
    </row>
    <row r="2644" spans="1:8">
      <c r="A2644" s="31"/>
      <c r="C2644" s="31"/>
      <c r="D2644" s="83"/>
      <c r="E2644" s="83"/>
      <c r="F2644" s="83"/>
      <c r="G2644" s="31"/>
      <c r="H2644" s="31"/>
    </row>
    <row r="2645" spans="1:8">
      <c r="A2645" s="31"/>
      <c r="C2645" s="31"/>
      <c r="D2645" s="83"/>
      <c r="E2645" s="83"/>
      <c r="F2645" s="83"/>
      <c r="G2645" s="31"/>
      <c r="H2645" s="31"/>
    </row>
    <row r="2646" spans="1:8">
      <c r="A2646" s="31"/>
      <c r="C2646" s="31"/>
      <c r="D2646" s="83"/>
      <c r="E2646" s="83"/>
      <c r="F2646" s="83"/>
      <c r="G2646" s="31"/>
      <c r="H2646" s="31"/>
    </row>
    <row r="2647" spans="1:8">
      <c r="A2647" s="31"/>
      <c r="C2647" s="31"/>
      <c r="D2647" s="83"/>
      <c r="E2647" s="83"/>
      <c r="F2647" s="83"/>
      <c r="G2647" s="31"/>
      <c r="H2647" s="31"/>
    </row>
    <row r="2648" spans="1:8">
      <c r="A2648" s="31"/>
      <c r="C2648" s="31"/>
      <c r="D2648" s="83"/>
      <c r="E2648" s="83"/>
      <c r="F2648" s="83"/>
      <c r="G2648" s="31"/>
      <c r="H2648" s="31"/>
    </row>
    <row r="2649" spans="1:8">
      <c r="A2649" s="31"/>
      <c r="C2649" s="31"/>
      <c r="D2649" s="83"/>
      <c r="E2649" s="83"/>
      <c r="F2649" s="83"/>
      <c r="G2649" s="31"/>
      <c r="H2649" s="31"/>
    </row>
    <row r="2650" spans="1:8">
      <c r="A2650" s="31"/>
      <c r="C2650" s="31"/>
      <c r="D2650" s="83"/>
      <c r="E2650" s="83"/>
      <c r="F2650" s="83"/>
      <c r="G2650" s="31"/>
      <c r="H2650" s="31"/>
    </row>
    <row r="2651" spans="1:8">
      <c r="A2651" s="31"/>
      <c r="C2651" s="31"/>
      <c r="D2651" s="83"/>
      <c r="E2651" s="83"/>
      <c r="F2651" s="83"/>
      <c r="G2651" s="31"/>
      <c r="H2651" s="31"/>
    </row>
    <row r="2652" spans="1:8">
      <c r="A2652" s="31"/>
      <c r="C2652" s="31"/>
      <c r="D2652" s="83"/>
      <c r="E2652" s="83"/>
      <c r="F2652" s="83"/>
      <c r="G2652" s="31"/>
      <c r="H2652" s="31"/>
    </row>
    <row r="2653" spans="1:8">
      <c r="A2653" s="31"/>
      <c r="C2653" s="31"/>
      <c r="D2653" s="83"/>
      <c r="E2653" s="83"/>
      <c r="F2653" s="83"/>
      <c r="G2653" s="31"/>
      <c r="H2653" s="31"/>
    </row>
    <row r="2654" spans="1:8">
      <c r="A2654" s="31"/>
      <c r="C2654" s="31"/>
      <c r="D2654" s="83"/>
      <c r="E2654" s="83"/>
      <c r="F2654" s="83"/>
      <c r="G2654" s="31"/>
      <c r="H2654" s="31"/>
    </row>
    <row r="2655" spans="1:8">
      <c r="A2655" s="31"/>
      <c r="C2655" s="31"/>
      <c r="D2655" s="83"/>
      <c r="E2655" s="83"/>
      <c r="F2655" s="83"/>
      <c r="G2655" s="31"/>
      <c r="H2655" s="31"/>
    </row>
    <row r="2656" spans="1:8">
      <c r="A2656" s="31"/>
      <c r="C2656" s="31"/>
      <c r="D2656" s="83"/>
      <c r="E2656" s="83"/>
      <c r="F2656" s="83"/>
      <c r="G2656" s="31"/>
      <c r="H2656" s="31"/>
    </row>
    <row r="2657" spans="1:8">
      <c r="A2657" s="31"/>
      <c r="C2657" s="31"/>
      <c r="D2657" s="83"/>
      <c r="E2657" s="83"/>
      <c r="F2657" s="83"/>
      <c r="G2657" s="31"/>
      <c r="H2657" s="31"/>
    </row>
    <row r="2658" spans="1:8">
      <c r="A2658" s="31"/>
      <c r="C2658" s="31"/>
      <c r="D2658" s="83"/>
      <c r="E2658" s="83"/>
      <c r="F2658" s="83"/>
      <c r="G2658" s="31"/>
      <c r="H2658" s="31"/>
    </row>
    <row r="2659" spans="1:8">
      <c r="A2659" s="31"/>
      <c r="C2659" s="31"/>
      <c r="D2659" s="83"/>
      <c r="E2659" s="83"/>
      <c r="F2659" s="83"/>
      <c r="G2659" s="31"/>
      <c r="H2659" s="31"/>
    </row>
    <row r="2660" spans="1:8">
      <c r="A2660" s="31"/>
      <c r="C2660" s="31"/>
      <c r="D2660" s="83"/>
      <c r="E2660" s="83"/>
      <c r="F2660" s="83"/>
      <c r="G2660" s="31"/>
      <c r="H2660" s="31"/>
    </row>
    <row r="2661" spans="1:8">
      <c r="A2661" s="31"/>
      <c r="C2661" s="31"/>
      <c r="D2661" s="83"/>
      <c r="E2661" s="83"/>
      <c r="F2661" s="83"/>
      <c r="G2661" s="31"/>
      <c r="H2661" s="31"/>
    </row>
    <row r="2662" spans="1:8">
      <c r="A2662" s="31"/>
      <c r="C2662" s="31"/>
      <c r="D2662" s="83"/>
      <c r="E2662" s="83"/>
      <c r="F2662" s="83"/>
      <c r="G2662" s="31"/>
      <c r="H2662" s="31"/>
    </row>
    <row r="2663" spans="1:8">
      <c r="A2663" s="31"/>
      <c r="C2663" s="31"/>
      <c r="D2663" s="83"/>
      <c r="E2663" s="83"/>
      <c r="F2663" s="83"/>
      <c r="G2663" s="31"/>
      <c r="H2663" s="31"/>
    </row>
    <row r="2664" spans="1:8">
      <c r="A2664" s="31"/>
      <c r="C2664" s="31"/>
      <c r="D2664" s="83"/>
      <c r="E2664" s="83"/>
      <c r="F2664" s="83"/>
      <c r="G2664" s="31"/>
      <c r="H2664" s="31"/>
    </row>
    <row r="2665" spans="1:8">
      <c r="A2665" s="31"/>
      <c r="C2665" s="31"/>
      <c r="D2665" s="83"/>
      <c r="E2665" s="83"/>
      <c r="F2665" s="83"/>
      <c r="G2665" s="31"/>
      <c r="H2665" s="31"/>
    </row>
    <row r="2666" spans="1:8">
      <c r="A2666" s="31"/>
      <c r="C2666" s="31"/>
      <c r="D2666" s="83"/>
      <c r="E2666" s="83"/>
      <c r="F2666" s="83"/>
      <c r="G2666" s="31"/>
      <c r="H2666" s="31"/>
    </row>
    <row r="2667" spans="1:8">
      <c r="A2667" s="31"/>
      <c r="C2667" s="31"/>
      <c r="D2667" s="83"/>
      <c r="E2667" s="83"/>
      <c r="F2667" s="83"/>
      <c r="G2667" s="31"/>
      <c r="H2667" s="31"/>
    </row>
    <row r="2668" spans="1:8">
      <c r="A2668" s="31"/>
      <c r="C2668" s="31"/>
      <c r="D2668" s="83"/>
      <c r="E2668" s="83"/>
      <c r="F2668" s="83"/>
      <c r="G2668" s="31"/>
      <c r="H2668" s="31"/>
    </row>
    <row r="2669" spans="1:8">
      <c r="A2669" s="31"/>
      <c r="C2669" s="31"/>
      <c r="D2669" s="83"/>
      <c r="E2669" s="83"/>
      <c r="F2669" s="83"/>
      <c r="G2669" s="31"/>
      <c r="H2669" s="31"/>
    </row>
    <row r="2670" spans="1:8">
      <c r="A2670" s="31"/>
      <c r="C2670" s="31"/>
      <c r="D2670" s="83"/>
      <c r="E2670" s="83"/>
      <c r="F2670" s="83"/>
      <c r="G2670" s="31"/>
      <c r="H2670" s="31"/>
    </row>
    <row r="2671" spans="1:8">
      <c r="A2671" s="31"/>
      <c r="C2671" s="31"/>
      <c r="D2671" s="83"/>
      <c r="E2671" s="83"/>
      <c r="F2671" s="83"/>
      <c r="G2671" s="31"/>
      <c r="H2671" s="31"/>
    </row>
    <row r="2672" spans="1:8">
      <c r="A2672" s="31"/>
      <c r="C2672" s="31"/>
      <c r="D2672" s="83"/>
      <c r="E2672" s="83"/>
      <c r="F2672" s="83"/>
      <c r="G2672" s="31"/>
      <c r="H2672" s="31"/>
    </row>
    <row r="2673" spans="1:8">
      <c r="A2673" s="31"/>
      <c r="C2673" s="31"/>
      <c r="D2673" s="83"/>
      <c r="E2673" s="83"/>
      <c r="F2673" s="83"/>
      <c r="G2673" s="31"/>
      <c r="H2673" s="31"/>
    </row>
    <row r="2674" spans="1:8">
      <c r="A2674" s="31"/>
      <c r="C2674" s="31"/>
      <c r="D2674" s="83"/>
      <c r="E2674" s="83"/>
      <c r="F2674" s="83"/>
      <c r="G2674" s="31"/>
      <c r="H2674" s="31"/>
    </row>
    <row r="2675" spans="1:8">
      <c r="A2675" s="31"/>
      <c r="C2675" s="31"/>
      <c r="D2675" s="83"/>
      <c r="E2675" s="83"/>
      <c r="F2675" s="83"/>
      <c r="G2675" s="31"/>
      <c r="H2675" s="31"/>
    </row>
    <row r="2676" spans="1:8">
      <c r="A2676" s="31"/>
      <c r="C2676" s="31"/>
      <c r="D2676" s="83"/>
      <c r="E2676" s="83"/>
      <c r="F2676" s="83"/>
      <c r="G2676" s="31"/>
      <c r="H2676" s="31"/>
    </row>
    <row r="2677" spans="1:8">
      <c r="A2677" s="31"/>
      <c r="C2677" s="31"/>
      <c r="D2677" s="83"/>
      <c r="E2677" s="83"/>
      <c r="F2677" s="83"/>
      <c r="G2677" s="31"/>
      <c r="H2677" s="31"/>
    </row>
    <row r="2678" spans="1:8">
      <c r="A2678" s="31"/>
      <c r="C2678" s="31"/>
      <c r="D2678" s="83"/>
      <c r="E2678" s="83"/>
      <c r="F2678" s="83"/>
      <c r="G2678" s="31"/>
      <c r="H2678" s="31"/>
    </row>
    <row r="2679" spans="1:8">
      <c r="A2679" s="31"/>
      <c r="C2679" s="31"/>
      <c r="D2679" s="83"/>
      <c r="E2679" s="83"/>
      <c r="F2679" s="83"/>
      <c r="G2679" s="31"/>
      <c r="H2679" s="31"/>
    </row>
    <row r="2680" spans="1:8">
      <c r="A2680" s="31"/>
      <c r="C2680" s="31"/>
      <c r="D2680" s="83"/>
      <c r="E2680" s="83"/>
      <c r="F2680" s="83"/>
      <c r="G2680" s="31"/>
      <c r="H2680" s="31"/>
    </row>
    <row r="2681" spans="1:8">
      <c r="A2681" s="31"/>
      <c r="C2681" s="31"/>
      <c r="D2681" s="83"/>
      <c r="E2681" s="83"/>
      <c r="F2681" s="83"/>
      <c r="G2681" s="31"/>
      <c r="H2681" s="31"/>
    </row>
    <row r="2682" spans="1:8">
      <c r="A2682" s="31"/>
      <c r="C2682" s="31"/>
      <c r="D2682" s="83"/>
      <c r="E2682" s="83"/>
      <c r="F2682" s="83"/>
      <c r="G2682" s="31"/>
      <c r="H2682" s="31"/>
    </row>
    <row r="2683" spans="1:8">
      <c r="A2683" s="31"/>
      <c r="C2683" s="31"/>
      <c r="D2683" s="83"/>
      <c r="E2683" s="83"/>
      <c r="F2683" s="83"/>
      <c r="G2683" s="31"/>
      <c r="H2683" s="31"/>
    </row>
    <row r="2684" spans="1:8">
      <c r="A2684" s="31"/>
      <c r="C2684" s="31"/>
      <c r="D2684" s="83"/>
      <c r="E2684" s="83"/>
      <c r="F2684" s="83"/>
      <c r="G2684" s="31"/>
      <c r="H2684" s="31"/>
    </row>
    <row r="2685" spans="1:8">
      <c r="A2685" s="31"/>
      <c r="C2685" s="31"/>
      <c r="D2685" s="83"/>
      <c r="E2685" s="83"/>
      <c r="F2685" s="83"/>
      <c r="G2685" s="31"/>
      <c r="H2685" s="31"/>
    </row>
    <row r="2686" spans="1:8">
      <c r="A2686" s="31"/>
      <c r="C2686" s="31"/>
      <c r="D2686" s="83"/>
      <c r="E2686" s="83"/>
      <c r="F2686" s="83"/>
      <c r="G2686" s="31"/>
      <c r="H2686" s="31"/>
    </row>
    <row r="2687" spans="1:8">
      <c r="A2687" s="31"/>
      <c r="C2687" s="31"/>
      <c r="D2687" s="83"/>
      <c r="E2687" s="83"/>
      <c r="F2687" s="83"/>
      <c r="G2687" s="31"/>
      <c r="H2687" s="31"/>
    </row>
    <row r="2688" spans="1:8">
      <c r="A2688" s="31"/>
      <c r="C2688" s="31"/>
      <c r="D2688" s="83"/>
      <c r="E2688" s="83"/>
      <c r="F2688" s="83"/>
      <c r="G2688" s="31"/>
      <c r="H2688" s="31"/>
    </row>
    <row r="2689" spans="1:8">
      <c r="A2689" s="31"/>
      <c r="C2689" s="31"/>
      <c r="D2689" s="83"/>
      <c r="E2689" s="83"/>
      <c r="F2689" s="83"/>
      <c r="G2689" s="31"/>
      <c r="H2689" s="31"/>
    </row>
    <row r="2690" spans="1:8">
      <c r="A2690" s="31"/>
      <c r="C2690" s="31"/>
      <c r="D2690" s="83"/>
      <c r="E2690" s="83"/>
      <c r="F2690" s="83"/>
      <c r="G2690" s="31"/>
      <c r="H2690" s="31"/>
    </row>
    <row r="2691" spans="1:8">
      <c r="A2691" s="31"/>
      <c r="C2691" s="31"/>
      <c r="D2691" s="83"/>
      <c r="E2691" s="83"/>
      <c r="F2691" s="83"/>
      <c r="G2691" s="31"/>
      <c r="H2691" s="31"/>
    </row>
    <row r="2692" spans="1:8">
      <c r="A2692" s="31"/>
      <c r="C2692" s="31"/>
      <c r="D2692" s="83"/>
      <c r="E2692" s="83"/>
      <c r="F2692" s="83"/>
      <c r="G2692" s="31"/>
      <c r="H2692" s="31"/>
    </row>
    <row r="2693" spans="1:8">
      <c r="A2693" s="31"/>
      <c r="C2693" s="31"/>
      <c r="D2693" s="83"/>
      <c r="E2693" s="83"/>
      <c r="F2693" s="83"/>
      <c r="G2693" s="31"/>
      <c r="H2693" s="31"/>
    </row>
    <row r="2694" spans="1:8">
      <c r="A2694" s="31"/>
      <c r="C2694" s="31"/>
      <c r="D2694" s="83"/>
      <c r="E2694" s="83"/>
      <c r="F2694" s="83"/>
      <c r="G2694" s="31"/>
      <c r="H2694" s="31"/>
    </row>
    <row r="2695" spans="1:8">
      <c r="A2695" s="31"/>
      <c r="C2695" s="31"/>
      <c r="D2695" s="83"/>
      <c r="E2695" s="83"/>
      <c r="F2695" s="83"/>
      <c r="G2695" s="31"/>
      <c r="H2695" s="31"/>
    </row>
    <row r="2696" spans="1:8">
      <c r="A2696" s="31"/>
      <c r="C2696" s="31"/>
      <c r="D2696" s="83"/>
      <c r="E2696" s="83"/>
      <c r="F2696" s="83"/>
      <c r="G2696" s="31"/>
      <c r="H2696" s="31"/>
    </row>
    <row r="2697" spans="1:8">
      <c r="A2697" s="31"/>
      <c r="C2697" s="31"/>
      <c r="D2697" s="83"/>
      <c r="E2697" s="83"/>
      <c r="F2697" s="83"/>
      <c r="G2697" s="31"/>
      <c r="H2697" s="31"/>
    </row>
    <row r="2698" spans="1:8">
      <c r="A2698" s="31"/>
      <c r="C2698" s="31"/>
      <c r="D2698" s="83"/>
      <c r="E2698" s="83"/>
      <c r="F2698" s="83"/>
      <c r="G2698" s="31"/>
      <c r="H2698" s="31"/>
    </row>
    <row r="2699" spans="1:8">
      <c r="A2699" s="31"/>
      <c r="C2699" s="31"/>
      <c r="D2699" s="83"/>
      <c r="E2699" s="83"/>
      <c r="F2699" s="83"/>
      <c r="G2699" s="31"/>
      <c r="H2699" s="31"/>
    </row>
    <row r="2700" spans="1:8">
      <c r="A2700" s="31"/>
      <c r="C2700" s="31"/>
      <c r="D2700" s="83"/>
      <c r="E2700" s="83"/>
      <c r="F2700" s="83"/>
      <c r="G2700" s="31"/>
      <c r="H2700" s="31"/>
    </row>
    <row r="2701" spans="1:8">
      <c r="A2701" s="31"/>
      <c r="C2701" s="31"/>
      <c r="D2701" s="83"/>
      <c r="E2701" s="83"/>
      <c r="F2701" s="83"/>
      <c r="G2701" s="31"/>
      <c r="H2701" s="31"/>
    </row>
    <row r="2702" spans="1:8">
      <c r="A2702" s="31"/>
      <c r="C2702" s="31"/>
      <c r="D2702" s="83"/>
      <c r="E2702" s="83"/>
      <c r="F2702" s="83"/>
      <c r="G2702" s="31"/>
      <c r="H2702" s="31"/>
    </row>
    <row r="2703" spans="1:8">
      <c r="A2703" s="31"/>
      <c r="C2703" s="31"/>
      <c r="D2703" s="83"/>
      <c r="E2703" s="83"/>
      <c r="F2703" s="83"/>
      <c r="G2703" s="31"/>
      <c r="H2703" s="31"/>
    </row>
    <row r="2704" spans="1:8">
      <c r="A2704" s="31"/>
      <c r="C2704" s="31"/>
      <c r="D2704" s="83"/>
      <c r="E2704" s="83"/>
      <c r="F2704" s="83"/>
      <c r="G2704" s="31"/>
      <c r="H2704" s="31"/>
    </row>
    <row r="2705" spans="1:8">
      <c r="A2705" s="31"/>
      <c r="C2705" s="31"/>
      <c r="D2705" s="83"/>
      <c r="E2705" s="83"/>
      <c r="F2705" s="83"/>
      <c r="G2705" s="31"/>
      <c r="H2705" s="31"/>
    </row>
    <row r="2706" spans="1:8">
      <c r="A2706" s="31"/>
      <c r="C2706" s="31"/>
      <c r="D2706" s="83"/>
      <c r="E2706" s="83"/>
      <c r="F2706" s="83"/>
      <c r="G2706" s="31"/>
      <c r="H2706" s="31"/>
    </row>
    <row r="2707" spans="1:8">
      <c r="A2707" s="31"/>
      <c r="C2707" s="31"/>
      <c r="D2707" s="83"/>
      <c r="E2707" s="83"/>
      <c r="F2707" s="83"/>
      <c r="G2707" s="31"/>
      <c r="H2707" s="31"/>
    </row>
    <row r="2708" spans="1:8">
      <c r="A2708" s="31"/>
      <c r="C2708" s="31"/>
      <c r="D2708" s="83"/>
      <c r="E2708" s="83"/>
      <c r="F2708" s="83"/>
      <c r="G2708" s="31"/>
      <c r="H2708" s="31"/>
    </row>
    <row r="2709" spans="1:8">
      <c r="A2709" s="31"/>
      <c r="C2709" s="31"/>
      <c r="D2709" s="83"/>
      <c r="E2709" s="83"/>
      <c r="F2709" s="83"/>
      <c r="G2709" s="31"/>
      <c r="H2709" s="31"/>
    </row>
    <row r="2710" spans="1:8">
      <c r="A2710" s="31"/>
      <c r="C2710" s="31"/>
      <c r="D2710" s="83"/>
      <c r="E2710" s="83"/>
      <c r="F2710" s="83"/>
      <c r="G2710" s="31"/>
      <c r="H2710" s="31"/>
    </row>
    <row r="2711" spans="1:8">
      <c r="A2711" s="31"/>
      <c r="C2711" s="31"/>
      <c r="D2711" s="83"/>
      <c r="E2711" s="83"/>
      <c r="F2711" s="83"/>
      <c r="G2711" s="31"/>
      <c r="H2711" s="31"/>
    </row>
    <row r="2712" spans="1:8">
      <c r="A2712" s="31"/>
      <c r="C2712" s="31"/>
      <c r="D2712" s="83"/>
      <c r="E2712" s="83"/>
      <c r="F2712" s="83"/>
      <c r="G2712" s="31"/>
      <c r="H2712" s="31"/>
    </row>
    <row r="2713" spans="1:8">
      <c r="A2713" s="31"/>
      <c r="C2713" s="31"/>
      <c r="D2713" s="83"/>
      <c r="E2713" s="83"/>
      <c r="F2713" s="83"/>
      <c r="G2713" s="31"/>
      <c r="H2713" s="31"/>
    </row>
    <row r="2714" spans="1:8">
      <c r="A2714" s="31"/>
      <c r="C2714" s="31"/>
      <c r="D2714" s="83"/>
      <c r="E2714" s="83"/>
      <c r="F2714" s="83"/>
      <c r="G2714" s="31"/>
      <c r="H2714" s="31"/>
    </row>
    <row r="2715" spans="1:8">
      <c r="A2715" s="31"/>
      <c r="C2715" s="31"/>
      <c r="D2715" s="83"/>
      <c r="E2715" s="83"/>
      <c r="F2715" s="83"/>
      <c r="G2715" s="31"/>
      <c r="H2715" s="31"/>
    </row>
    <row r="2716" spans="1:8">
      <c r="A2716" s="31"/>
      <c r="C2716" s="31"/>
      <c r="D2716" s="83"/>
      <c r="E2716" s="83"/>
      <c r="F2716" s="83"/>
      <c r="G2716" s="31"/>
      <c r="H2716" s="31"/>
    </row>
    <row r="2717" spans="1:8">
      <c r="A2717" s="31"/>
      <c r="C2717" s="31"/>
      <c r="D2717" s="83"/>
      <c r="E2717" s="83"/>
      <c r="F2717" s="83"/>
      <c r="G2717" s="31"/>
      <c r="H2717" s="31"/>
    </row>
    <row r="2718" spans="1:8">
      <c r="A2718" s="31"/>
      <c r="C2718" s="31"/>
      <c r="D2718" s="83"/>
      <c r="E2718" s="83"/>
      <c r="F2718" s="83"/>
      <c r="G2718" s="31"/>
      <c r="H2718" s="31"/>
    </row>
    <row r="2719" spans="1:8">
      <c r="A2719" s="31"/>
      <c r="C2719" s="31"/>
      <c r="D2719" s="83"/>
      <c r="E2719" s="83"/>
      <c r="F2719" s="83"/>
      <c r="G2719" s="31"/>
      <c r="H2719" s="31"/>
    </row>
    <row r="2720" spans="1:8">
      <c r="A2720" s="31"/>
      <c r="C2720" s="31"/>
      <c r="D2720" s="83"/>
      <c r="E2720" s="83"/>
      <c r="F2720" s="83"/>
      <c r="G2720" s="31"/>
      <c r="H2720" s="31"/>
    </row>
    <row r="2721" spans="1:8">
      <c r="A2721" s="31"/>
      <c r="C2721" s="31"/>
      <c r="D2721" s="83"/>
      <c r="E2721" s="83"/>
      <c r="F2721" s="83"/>
      <c r="G2721" s="31"/>
      <c r="H2721" s="31"/>
    </row>
    <row r="2722" spans="1:8">
      <c r="A2722" s="31"/>
      <c r="C2722" s="31"/>
      <c r="D2722" s="83"/>
      <c r="E2722" s="83"/>
      <c r="F2722" s="83"/>
      <c r="G2722" s="31"/>
      <c r="H2722" s="31"/>
    </row>
    <row r="2723" spans="1:8">
      <c r="A2723" s="31"/>
      <c r="C2723" s="31"/>
      <c r="D2723" s="83"/>
      <c r="E2723" s="83"/>
      <c r="F2723" s="83"/>
      <c r="G2723" s="31"/>
      <c r="H2723" s="31"/>
    </row>
    <row r="2724" spans="1:8">
      <c r="A2724" s="31"/>
      <c r="C2724" s="31"/>
      <c r="D2724" s="83"/>
      <c r="E2724" s="83"/>
      <c r="F2724" s="83"/>
      <c r="G2724" s="31"/>
      <c r="H2724" s="31"/>
    </row>
    <row r="2725" spans="1:8">
      <c r="A2725" s="31"/>
      <c r="C2725" s="31"/>
      <c r="D2725" s="83"/>
      <c r="E2725" s="83"/>
      <c r="F2725" s="83"/>
      <c r="G2725" s="31"/>
      <c r="H2725" s="31"/>
    </row>
    <row r="2726" spans="1:8">
      <c r="A2726" s="31"/>
      <c r="C2726" s="31"/>
      <c r="D2726" s="83"/>
      <c r="E2726" s="83"/>
      <c r="F2726" s="83"/>
      <c r="G2726" s="31"/>
      <c r="H2726" s="31"/>
    </row>
    <row r="2727" spans="1:8">
      <c r="A2727" s="31"/>
      <c r="C2727" s="31"/>
      <c r="D2727" s="83"/>
      <c r="E2727" s="83"/>
      <c r="F2727" s="83"/>
      <c r="G2727" s="31"/>
      <c r="H2727" s="31"/>
    </row>
    <row r="2728" spans="1:8">
      <c r="A2728" s="31"/>
      <c r="C2728" s="31"/>
      <c r="D2728" s="83"/>
      <c r="E2728" s="83"/>
      <c r="F2728" s="83"/>
      <c r="G2728" s="31"/>
      <c r="H2728" s="31"/>
    </row>
    <row r="2729" spans="1:8">
      <c r="A2729" s="31"/>
      <c r="C2729" s="31"/>
      <c r="D2729" s="83"/>
      <c r="E2729" s="83"/>
      <c r="F2729" s="83"/>
      <c r="G2729" s="31"/>
      <c r="H2729" s="31"/>
    </row>
    <row r="2730" spans="1:8">
      <c r="A2730" s="31"/>
      <c r="C2730" s="31"/>
      <c r="D2730" s="83"/>
      <c r="E2730" s="83"/>
      <c r="F2730" s="83"/>
      <c r="G2730" s="31"/>
      <c r="H2730" s="31"/>
    </row>
    <row r="2731" spans="1:8">
      <c r="A2731" s="31"/>
      <c r="C2731" s="31"/>
      <c r="D2731" s="83"/>
      <c r="E2731" s="83"/>
      <c r="F2731" s="83"/>
      <c r="G2731" s="31"/>
      <c r="H2731" s="31"/>
    </row>
    <row r="2732" spans="1:8">
      <c r="A2732" s="31"/>
      <c r="C2732" s="31"/>
      <c r="D2732" s="83"/>
      <c r="E2732" s="83"/>
      <c r="F2732" s="83"/>
      <c r="G2732" s="31"/>
      <c r="H2732" s="31"/>
    </row>
    <row r="2733" spans="1:8">
      <c r="A2733" s="31"/>
      <c r="C2733" s="31"/>
      <c r="D2733" s="83"/>
      <c r="E2733" s="83"/>
      <c r="F2733" s="83"/>
      <c r="G2733" s="31"/>
      <c r="H2733" s="31"/>
    </row>
    <row r="2734" spans="1:8">
      <c r="A2734" s="31"/>
      <c r="C2734" s="31"/>
      <c r="D2734" s="83"/>
      <c r="E2734" s="83"/>
      <c r="F2734" s="83"/>
      <c r="G2734" s="31"/>
      <c r="H2734" s="31"/>
    </row>
    <row r="2735" spans="1:8">
      <c r="A2735" s="31"/>
      <c r="C2735" s="31"/>
      <c r="D2735" s="83"/>
      <c r="E2735" s="83"/>
      <c r="F2735" s="83"/>
      <c r="G2735" s="31"/>
      <c r="H2735" s="31"/>
    </row>
    <row r="2736" spans="1:8">
      <c r="A2736" s="31"/>
      <c r="C2736" s="31"/>
      <c r="D2736" s="83"/>
      <c r="E2736" s="83"/>
      <c r="F2736" s="83"/>
      <c r="G2736" s="31"/>
      <c r="H2736" s="31"/>
    </row>
    <row r="2737" spans="1:8">
      <c r="A2737" s="31"/>
      <c r="C2737" s="31"/>
      <c r="D2737" s="83"/>
      <c r="E2737" s="83"/>
      <c r="F2737" s="83"/>
      <c r="G2737" s="31"/>
      <c r="H2737" s="31"/>
    </row>
    <row r="2738" spans="1:8">
      <c r="A2738" s="31"/>
      <c r="C2738" s="31"/>
      <c r="D2738" s="83"/>
      <c r="E2738" s="83"/>
      <c r="F2738" s="83"/>
      <c r="G2738" s="31"/>
      <c r="H2738" s="31"/>
    </row>
    <row r="2739" spans="1:8">
      <c r="A2739" s="31"/>
      <c r="C2739" s="31"/>
      <c r="D2739" s="83"/>
      <c r="E2739" s="83"/>
      <c r="F2739" s="83"/>
      <c r="G2739" s="31"/>
      <c r="H2739" s="31"/>
    </row>
    <row r="2740" spans="1:8">
      <c r="A2740" s="31"/>
      <c r="C2740" s="31"/>
      <c r="D2740" s="83"/>
      <c r="E2740" s="83"/>
      <c r="F2740" s="83"/>
      <c r="G2740" s="31"/>
      <c r="H2740" s="31"/>
    </row>
    <row r="2741" spans="1:8">
      <c r="A2741" s="31"/>
      <c r="C2741" s="31"/>
      <c r="D2741" s="83"/>
      <c r="E2741" s="83"/>
      <c r="F2741" s="83"/>
      <c r="G2741" s="31"/>
      <c r="H2741" s="31"/>
    </row>
    <row r="2742" spans="1:8">
      <c r="A2742" s="31"/>
      <c r="C2742" s="31"/>
      <c r="D2742" s="83"/>
      <c r="E2742" s="83"/>
      <c r="F2742" s="83"/>
      <c r="G2742" s="31"/>
      <c r="H2742" s="31"/>
    </row>
    <row r="2743" spans="1:8">
      <c r="A2743" s="31"/>
      <c r="C2743" s="31"/>
      <c r="D2743" s="83"/>
      <c r="E2743" s="83"/>
      <c r="F2743" s="83"/>
      <c r="G2743" s="31"/>
      <c r="H2743" s="31"/>
    </row>
    <row r="2744" spans="1:8">
      <c r="A2744" s="31"/>
      <c r="C2744" s="31"/>
      <c r="D2744" s="83"/>
      <c r="E2744" s="83"/>
      <c r="F2744" s="83"/>
      <c r="G2744" s="31"/>
      <c r="H2744" s="31"/>
    </row>
    <row r="2745" spans="1:8">
      <c r="A2745" s="31"/>
      <c r="C2745" s="31"/>
      <c r="D2745" s="83"/>
      <c r="E2745" s="83"/>
      <c r="F2745" s="83"/>
      <c r="G2745" s="31"/>
      <c r="H2745" s="31"/>
    </row>
    <row r="2746" spans="1:8">
      <c r="A2746" s="31"/>
      <c r="C2746" s="31"/>
      <c r="D2746" s="83"/>
      <c r="E2746" s="83"/>
      <c r="F2746" s="83"/>
      <c r="G2746" s="31"/>
      <c r="H2746" s="31"/>
    </row>
    <row r="2747" spans="1:8">
      <c r="A2747" s="31"/>
      <c r="C2747" s="31"/>
      <c r="D2747" s="83"/>
      <c r="E2747" s="83"/>
      <c r="F2747" s="83"/>
      <c r="G2747" s="31"/>
      <c r="H2747" s="31"/>
    </row>
    <row r="2748" spans="1:8">
      <c r="A2748" s="31"/>
      <c r="C2748" s="31"/>
      <c r="D2748" s="83"/>
      <c r="E2748" s="83"/>
      <c r="F2748" s="83"/>
      <c r="G2748" s="31"/>
      <c r="H2748" s="31"/>
    </row>
    <row r="2749" spans="1:8">
      <c r="A2749" s="31"/>
      <c r="C2749" s="31"/>
      <c r="D2749" s="83"/>
      <c r="E2749" s="83"/>
      <c r="F2749" s="83"/>
      <c r="G2749" s="31"/>
      <c r="H2749" s="31"/>
    </row>
    <row r="2750" spans="1:8">
      <c r="A2750" s="31"/>
      <c r="C2750" s="31"/>
      <c r="D2750" s="83"/>
      <c r="E2750" s="83"/>
      <c r="F2750" s="83"/>
      <c r="G2750" s="31"/>
      <c r="H2750" s="31"/>
    </row>
    <row r="2751" spans="1:8">
      <c r="A2751" s="31"/>
      <c r="C2751" s="31"/>
      <c r="D2751" s="83"/>
      <c r="E2751" s="83"/>
      <c r="F2751" s="83"/>
      <c r="G2751" s="31"/>
      <c r="H2751" s="31"/>
    </row>
    <row r="2752" spans="1:8">
      <c r="A2752" s="31"/>
      <c r="C2752" s="31"/>
      <c r="D2752" s="83"/>
      <c r="E2752" s="83"/>
      <c r="F2752" s="83"/>
      <c r="G2752" s="31"/>
      <c r="H2752" s="31"/>
    </row>
    <row r="2753" spans="1:8">
      <c r="A2753" s="31"/>
      <c r="C2753" s="31"/>
      <c r="D2753" s="83"/>
      <c r="E2753" s="83"/>
      <c r="F2753" s="83"/>
      <c r="G2753" s="31"/>
      <c r="H2753" s="31"/>
    </row>
    <row r="2754" spans="1:8">
      <c r="A2754" s="31"/>
      <c r="C2754" s="31"/>
      <c r="D2754" s="83"/>
      <c r="E2754" s="83"/>
      <c r="F2754" s="83"/>
      <c r="G2754" s="31"/>
      <c r="H2754" s="31"/>
    </row>
    <row r="2755" spans="1:8">
      <c r="A2755" s="31"/>
      <c r="C2755" s="31"/>
      <c r="D2755" s="83"/>
      <c r="E2755" s="83"/>
      <c r="F2755" s="83"/>
      <c r="G2755" s="31"/>
      <c r="H2755" s="31"/>
    </row>
    <row r="2756" spans="1:8">
      <c r="A2756" s="31"/>
      <c r="C2756" s="31"/>
      <c r="D2756" s="83"/>
      <c r="E2756" s="83"/>
      <c r="F2756" s="83"/>
      <c r="G2756" s="31"/>
      <c r="H2756" s="31"/>
    </row>
    <row r="2757" spans="1:8">
      <c r="A2757" s="31"/>
      <c r="C2757" s="31"/>
      <c r="D2757" s="83"/>
      <c r="E2757" s="83"/>
      <c r="F2757" s="83"/>
      <c r="G2757" s="31"/>
      <c r="H2757" s="31"/>
    </row>
    <row r="2758" spans="1:8">
      <c r="A2758" s="31"/>
      <c r="C2758" s="31"/>
      <c r="D2758" s="83"/>
      <c r="E2758" s="83"/>
      <c r="F2758" s="83"/>
      <c r="G2758" s="31"/>
      <c r="H2758" s="31"/>
    </row>
    <row r="2759" spans="1:8">
      <c r="A2759" s="31"/>
      <c r="C2759" s="31"/>
      <c r="D2759" s="83"/>
      <c r="E2759" s="83"/>
      <c r="F2759" s="83"/>
      <c r="G2759" s="31"/>
      <c r="H2759" s="31"/>
    </row>
    <row r="2760" spans="1:8">
      <c r="A2760" s="31"/>
      <c r="C2760" s="31"/>
      <c r="D2760" s="83"/>
      <c r="E2760" s="83"/>
      <c r="F2760" s="83"/>
      <c r="G2760" s="31"/>
      <c r="H2760" s="31"/>
    </row>
    <row r="2761" spans="1:8">
      <c r="A2761" s="31"/>
      <c r="C2761" s="31"/>
      <c r="D2761" s="83"/>
      <c r="E2761" s="83"/>
      <c r="F2761" s="83"/>
      <c r="G2761" s="31"/>
      <c r="H2761" s="31"/>
    </row>
    <row r="2762" spans="1:8">
      <c r="A2762" s="31"/>
      <c r="C2762" s="31"/>
      <c r="D2762" s="83"/>
      <c r="E2762" s="83"/>
      <c r="F2762" s="83"/>
      <c r="G2762" s="31"/>
      <c r="H2762" s="31"/>
    </row>
    <row r="2763" spans="1:8">
      <c r="A2763" s="31"/>
      <c r="C2763" s="31"/>
      <c r="D2763" s="83"/>
      <c r="E2763" s="83"/>
      <c r="F2763" s="83"/>
      <c r="G2763" s="31"/>
      <c r="H2763" s="31"/>
    </row>
    <row r="2764" spans="1:8">
      <c r="A2764" s="31"/>
      <c r="C2764" s="31"/>
      <c r="D2764" s="83"/>
      <c r="E2764" s="83"/>
      <c r="F2764" s="83"/>
      <c r="G2764" s="31"/>
      <c r="H2764" s="31"/>
    </row>
    <row r="2765" spans="1:8">
      <c r="A2765" s="31"/>
      <c r="C2765" s="31"/>
      <c r="D2765" s="83"/>
      <c r="E2765" s="83"/>
      <c r="F2765" s="83"/>
      <c r="G2765" s="31"/>
      <c r="H2765" s="31"/>
    </row>
    <row r="2766" spans="1:8">
      <c r="A2766" s="31"/>
      <c r="C2766" s="31"/>
      <c r="D2766" s="83"/>
      <c r="E2766" s="83"/>
      <c r="F2766" s="83"/>
      <c r="G2766" s="31"/>
      <c r="H2766" s="31"/>
    </row>
    <row r="2767" spans="1:8">
      <c r="A2767" s="31"/>
      <c r="C2767" s="31"/>
      <c r="D2767" s="83"/>
      <c r="E2767" s="83"/>
      <c r="F2767" s="83"/>
      <c r="G2767" s="31"/>
      <c r="H2767" s="31"/>
    </row>
    <row r="2768" spans="1:8">
      <c r="A2768" s="31"/>
      <c r="C2768" s="31"/>
      <c r="D2768" s="83"/>
      <c r="E2768" s="83"/>
      <c r="F2768" s="83"/>
      <c r="G2768" s="31"/>
      <c r="H2768" s="31"/>
    </row>
    <row r="2769" spans="1:8">
      <c r="A2769" s="31"/>
      <c r="C2769" s="31"/>
      <c r="D2769" s="83"/>
      <c r="E2769" s="83"/>
      <c r="F2769" s="83"/>
      <c r="G2769" s="31"/>
      <c r="H2769" s="31"/>
    </row>
    <row r="2770" spans="1:8">
      <c r="A2770" s="31"/>
      <c r="C2770" s="31"/>
      <c r="D2770" s="83"/>
      <c r="E2770" s="83"/>
      <c r="F2770" s="83"/>
      <c r="G2770" s="31"/>
      <c r="H2770" s="31"/>
    </row>
    <row r="2771" spans="1:8">
      <c r="A2771" s="31"/>
      <c r="C2771" s="31"/>
      <c r="D2771" s="83"/>
      <c r="E2771" s="83"/>
      <c r="F2771" s="83"/>
      <c r="G2771" s="31"/>
      <c r="H2771" s="31"/>
    </row>
    <row r="2772" spans="1:8">
      <c r="A2772" s="31"/>
      <c r="C2772" s="31"/>
      <c r="D2772" s="83"/>
      <c r="E2772" s="83"/>
      <c r="F2772" s="83"/>
      <c r="G2772" s="31"/>
      <c r="H2772" s="31"/>
    </row>
    <row r="2773" spans="1:8">
      <c r="A2773" s="31"/>
      <c r="C2773" s="31"/>
      <c r="D2773" s="83"/>
      <c r="E2773" s="83"/>
      <c r="F2773" s="83"/>
      <c r="G2773" s="31"/>
      <c r="H2773" s="31"/>
    </row>
    <row r="2774" spans="1:8">
      <c r="A2774" s="31"/>
      <c r="C2774" s="31"/>
      <c r="D2774" s="83"/>
      <c r="E2774" s="83"/>
      <c r="F2774" s="83"/>
      <c r="G2774" s="31"/>
      <c r="H2774" s="31"/>
    </row>
    <row r="2775" spans="1:8">
      <c r="A2775" s="31"/>
      <c r="C2775" s="31"/>
      <c r="D2775" s="83"/>
      <c r="E2775" s="83"/>
      <c r="F2775" s="83"/>
      <c r="G2775" s="31"/>
      <c r="H2775" s="31"/>
    </row>
    <row r="2776" spans="1:8">
      <c r="A2776" s="31"/>
      <c r="C2776" s="31"/>
      <c r="D2776" s="83"/>
      <c r="E2776" s="83"/>
      <c r="F2776" s="83"/>
      <c r="G2776" s="31"/>
      <c r="H2776" s="31"/>
    </row>
    <row r="2777" spans="1:8">
      <c r="A2777" s="31"/>
      <c r="C2777" s="31"/>
      <c r="D2777" s="83"/>
      <c r="E2777" s="83"/>
      <c r="F2777" s="83"/>
      <c r="G2777" s="31"/>
      <c r="H2777" s="31"/>
    </row>
    <row r="2778" spans="1:8">
      <c r="A2778" s="31"/>
      <c r="C2778" s="31"/>
      <c r="D2778" s="83"/>
      <c r="E2778" s="83"/>
      <c r="F2778" s="83"/>
      <c r="G2778" s="31"/>
      <c r="H2778" s="31"/>
    </row>
    <row r="2779" spans="1:8">
      <c r="A2779" s="31"/>
      <c r="C2779" s="31"/>
      <c r="D2779" s="83"/>
      <c r="E2779" s="83"/>
      <c r="F2779" s="83"/>
      <c r="G2779" s="31"/>
      <c r="H2779" s="31"/>
    </row>
    <row r="2780" spans="1:8">
      <c r="A2780" s="31"/>
      <c r="C2780" s="31"/>
      <c r="D2780" s="83"/>
      <c r="E2780" s="83"/>
      <c r="F2780" s="83"/>
      <c r="G2780" s="31"/>
      <c r="H2780" s="31"/>
    </row>
    <row r="2781" spans="1:8">
      <c r="A2781" s="31"/>
      <c r="C2781" s="31"/>
      <c r="D2781" s="83"/>
      <c r="E2781" s="83"/>
      <c r="F2781" s="83"/>
      <c r="G2781" s="31"/>
      <c r="H2781" s="31"/>
    </row>
    <row r="2782" spans="1:8">
      <c r="A2782" s="31"/>
      <c r="C2782" s="31"/>
      <c r="D2782" s="83"/>
      <c r="E2782" s="83"/>
      <c r="F2782" s="83"/>
      <c r="G2782" s="31"/>
      <c r="H2782" s="31"/>
    </row>
    <row r="2783" spans="1:8">
      <c r="A2783" s="31"/>
      <c r="C2783" s="31"/>
      <c r="D2783" s="83"/>
      <c r="E2783" s="83"/>
      <c r="F2783" s="83"/>
      <c r="G2783" s="31"/>
      <c r="H2783" s="31"/>
    </row>
    <row r="2784" spans="1:8">
      <c r="A2784" s="31"/>
      <c r="C2784" s="31"/>
      <c r="D2784" s="83"/>
      <c r="E2784" s="83"/>
      <c r="F2784" s="83"/>
      <c r="G2784" s="31"/>
      <c r="H2784" s="31"/>
    </row>
    <row r="2785" spans="1:8">
      <c r="A2785" s="31"/>
      <c r="C2785" s="31"/>
      <c r="D2785" s="83"/>
      <c r="E2785" s="83"/>
      <c r="F2785" s="83"/>
      <c r="G2785" s="31"/>
      <c r="H2785" s="31"/>
    </row>
    <row r="2786" spans="1:8">
      <c r="A2786" s="31"/>
      <c r="C2786" s="31"/>
      <c r="D2786" s="83"/>
      <c r="E2786" s="83"/>
      <c r="F2786" s="83"/>
      <c r="G2786" s="31"/>
      <c r="H2786" s="31"/>
    </row>
    <row r="2787" spans="1:8">
      <c r="A2787" s="31"/>
      <c r="C2787" s="31"/>
      <c r="D2787" s="83"/>
      <c r="E2787" s="83"/>
      <c r="F2787" s="83"/>
      <c r="G2787" s="31"/>
      <c r="H2787" s="31"/>
    </row>
    <row r="2788" spans="1:8">
      <c r="A2788" s="31"/>
      <c r="C2788" s="31"/>
      <c r="D2788" s="83"/>
      <c r="E2788" s="83"/>
      <c r="F2788" s="83"/>
      <c r="G2788" s="31"/>
      <c r="H2788" s="31"/>
    </row>
    <row r="2789" spans="1:8">
      <c r="A2789" s="31"/>
      <c r="C2789" s="31"/>
      <c r="D2789" s="83"/>
      <c r="E2789" s="83"/>
      <c r="F2789" s="83"/>
      <c r="G2789" s="31"/>
      <c r="H2789" s="31"/>
    </row>
    <row r="2790" spans="1:8">
      <c r="A2790" s="31"/>
      <c r="C2790" s="31"/>
      <c r="D2790" s="83"/>
      <c r="E2790" s="83"/>
      <c r="F2790" s="83"/>
      <c r="G2790" s="31"/>
      <c r="H2790" s="31"/>
    </row>
    <row r="2791" spans="1:8">
      <c r="A2791" s="31"/>
      <c r="C2791" s="31"/>
      <c r="D2791" s="83"/>
      <c r="E2791" s="83"/>
      <c r="F2791" s="83"/>
      <c r="G2791" s="31"/>
      <c r="H2791" s="31"/>
    </row>
    <row r="2792" spans="1:8">
      <c r="A2792" s="31"/>
      <c r="C2792" s="31"/>
      <c r="D2792" s="83"/>
      <c r="E2792" s="83"/>
      <c r="F2792" s="83"/>
      <c r="G2792" s="31"/>
      <c r="H2792" s="31"/>
    </row>
    <row r="2793" spans="1:8">
      <c r="A2793" s="31"/>
      <c r="C2793" s="31"/>
      <c r="D2793" s="83"/>
      <c r="E2793" s="83"/>
      <c r="F2793" s="83"/>
      <c r="G2793" s="31"/>
      <c r="H2793" s="31"/>
    </row>
    <row r="2794" spans="1:8">
      <c r="A2794" s="31"/>
      <c r="C2794" s="31"/>
      <c r="D2794" s="83"/>
      <c r="E2794" s="83"/>
      <c r="F2794" s="83"/>
      <c r="G2794" s="31"/>
      <c r="H2794" s="31"/>
    </row>
    <row r="2795" spans="1:8">
      <c r="A2795" s="31"/>
      <c r="C2795" s="31"/>
      <c r="D2795" s="83"/>
      <c r="E2795" s="83"/>
      <c r="F2795" s="83"/>
      <c r="G2795" s="31"/>
      <c r="H2795" s="31"/>
    </row>
    <row r="2796" spans="1:8">
      <c r="A2796" s="31"/>
      <c r="C2796" s="31"/>
      <c r="D2796" s="83"/>
      <c r="E2796" s="83"/>
      <c r="F2796" s="83"/>
      <c r="G2796" s="31"/>
      <c r="H2796" s="31"/>
    </row>
    <row r="2797" spans="1:8">
      <c r="A2797" s="31"/>
      <c r="C2797" s="31"/>
      <c r="D2797" s="83"/>
      <c r="E2797" s="83"/>
      <c r="F2797" s="83"/>
      <c r="G2797" s="31"/>
      <c r="H2797" s="31"/>
    </row>
    <row r="2798" spans="1:8">
      <c r="A2798" s="31"/>
      <c r="C2798" s="31"/>
      <c r="D2798" s="83"/>
      <c r="E2798" s="83"/>
      <c r="F2798" s="83"/>
      <c r="G2798" s="31"/>
      <c r="H2798" s="31"/>
    </row>
    <row r="2799" spans="1:8">
      <c r="A2799" s="31"/>
      <c r="C2799" s="31"/>
      <c r="D2799" s="83"/>
      <c r="E2799" s="83"/>
      <c r="F2799" s="83"/>
      <c r="G2799" s="31"/>
      <c r="H2799" s="31"/>
    </row>
    <row r="2800" spans="1:8">
      <c r="A2800" s="31"/>
      <c r="C2800" s="31"/>
      <c r="D2800" s="83"/>
      <c r="E2800" s="83"/>
      <c r="F2800" s="83"/>
      <c r="G2800" s="31"/>
      <c r="H2800" s="31"/>
    </row>
    <row r="2801" spans="1:8">
      <c r="A2801" s="31"/>
      <c r="C2801" s="31"/>
      <c r="D2801" s="83"/>
      <c r="E2801" s="83"/>
      <c r="F2801" s="83"/>
      <c r="G2801" s="31"/>
      <c r="H2801" s="31"/>
    </row>
    <row r="2802" spans="1:8">
      <c r="A2802" s="31"/>
      <c r="C2802" s="31"/>
      <c r="D2802" s="83"/>
      <c r="E2802" s="83"/>
      <c r="F2802" s="83"/>
      <c r="G2802" s="31"/>
      <c r="H2802" s="31"/>
    </row>
    <row r="2803" spans="1:8">
      <c r="A2803" s="31"/>
      <c r="C2803" s="31"/>
      <c r="D2803" s="83"/>
      <c r="E2803" s="83"/>
      <c r="F2803" s="83"/>
      <c r="G2803" s="31"/>
      <c r="H2803" s="31"/>
    </row>
    <row r="2804" spans="1:8">
      <c r="A2804" s="31"/>
      <c r="C2804" s="31"/>
      <c r="D2804" s="83"/>
      <c r="E2804" s="83"/>
      <c r="F2804" s="83"/>
      <c r="G2804" s="31"/>
      <c r="H2804" s="31"/>
    </row>
    <row r="2805" spans="1:8">
      <c r="A2805" s="31"/>
      <c r="C2805" s="31"/>
      <c r="D2805" s="83"/>
      <c r="E2805" s="83"/>
      <c r="F2805" s="83"/>
      <c r="G2805" s="31"/>
      <c r="H2805" s="31"/>
    </row>
    <row r="2806" spans="1:8">
      <c r="A2806" s="31"/>
      <c r="C2806" s="31"/>
      <c r="D2806" s="83"/>
      <c r="E2806" s="83"/>
      <c r="F2806" s="83"/>
      <c r="G2806" s="31"/>
      <c r="H2806" s="31"/>
    </row>
    <row r="2807" spans="1:8">
      <c r="A2807" s="31"/>
      <c r="C2807" s="31"/>
      <c r="D2807" s="83"/>
      <c r="E2807" s="83"/>
      <c r="F2807" s="83"/>
      <c r="G2807" s="31"/>
      <c r="H2807" s="31"/>
    </row>
    <row r="2808" spans="1:8">
      <c r="A2808" s="31"/>
      <c r="C2808" s="31"/>
      <c r="D2808" s="83"/>
      <c r="E2808" s="83"/>
      <c r="F2808" s="83"/>
      <c r="G2808" s="31"/>
      <c r="H2808" s="31"/>
    </row>
    <row r="2809" spans="1:8">
      <c r="A2809" s="31"/>
      <c r="C2809" s="31"/>
      <c r="D2809" s="83"/>
      <c r="E2809" s="83"/>
      <c r="F2809" s="83"/>
      <c r="G2809" s="31"/>
      <c r="H2809" s="31"/>
    </row>
    <row r="2810" spans="1:8">
      <c r="A2810" s="31"/>
      <c r="C2810" s="31"/>
      <c r="D2810" s="83"/>
      <c r="E2810" s="83"/>
      <c r="F2810" s="83"/>
      <c r="G2810" s="31"/>
      <c r="H2810" s="31"/>
    </row>
    <row r="2811" spans="1:8">
      <c r="A2811" s="31"/>
      <c r="C2811" s="31"/>
      <c r="D2811" s="83"/>
      <c r="E2811" s="83"/>
      <c r="F2811" s="83"/>
      <c r="G2811" s="31"/>
      <c r="H2811" s="31"/>
    </row>
    <row r="2812" spans="1:8">
      <c r="A2812" s="31"/>
      <c r="C2812" s="31"/>
      <c r="D2812" s="83"/>
      <c r="E2812" s="83"/>
      <c r="F2812" s="83"/>
      <c r="G2812" s="31"/>
      <c r="H2812" s="31"/>
    </row>
    <row r="2813" spans="1:8">
      <c r="A2813" s="31"/>
      <c r="C2813" s="31"/>
      <c r="D2813" s="83"/>
      <c r="E2813" s="83"/>
      <c r="F2813" s="83"/>
      <c r="G2813" s="31"/>
      <c r="H2813" s="31"/>
    </row>
    <row r="2814" spans="1:8">
      <c r="A2814" s="31"/>
      <c r="C2814" s="31"/>
      <c r="D2814" s="83"/>
      <c r="E2814" s="83"/>
      <c r="F2814" s="83"/>
      <c r="G2814" s="31"/>
      <c r="H2814" s="31"/>
    </row>
    <row r="2815" spans="1:8">
      <c r="A2815" s="31"/>
      <c r="C2815" s="31"/>
      <c r="D2815" s="83"/>
      <c r="E2815" s="83"/>
      <c r="F2815" s="83"/>
      <c r="G2815" s="31"/>
      <c r="H2815" s="31"/>
    </row>
    <row r="2816" spans="1:8">
      <c r="A2816" s="31"/>
      <c r="C2816" s="31"/>
      <c r="D2816" s="83"/>
      <c r="E2816" s="83"/>
      <c r="F2816" s="83"/>
      <c r="G2816" s="31"/>
      <c r="H2816" s="31"/>
    </row>
    <row r="2817" spans="1:8">
      <c r="A2817" s="31"/>
      <c r="C2817" s="31"/>
      <c r="D2817" s="83"/>
      <c r="E2817" s="83"/>
      <c r="F2817" s="83"/>
      <c r="G2817" s="31"/>
      <c r="H2817" s="31"/>
    </row>
    <row r="2818" spans="1:8">
      <c r="A2818" s="31"/>
      <c r="C2818" s="31"/>
      <c r="D2818" s="83"/>
      <c r="E2818" s="83"/>
      <c r="F2818" s="83"/>
      <c r="G2818" s="31"/>
      <c r="H2818" s="31"/>
    </row>
    <row r="2819" spans="1:8">
      <c r="A2819" s="31"/>
      <c r="C2819" s="31"/>
      <c r="D2819" s="83"/>
      <c r="E2819" s="83"/>
      <c r="F2819" s="83"/>
      <c r="G2819" s="31"/>
      <c r="H2819" s="31"/>
    </row>
    <row r="2820" spans="1:8">
      <c r="A2820" s="31"/>
      <c r="C2820" s="31"/>
      <c r="D2820" s="83"/>
      <c r="E2820" s="83"/>
      <c r="F2820" s="83"/>
      <c r="G2820" s="31"/>
      <c r="H2820" s="31"/>
    </row>
    <row r="2821" spans="1:8">
      <c r="A2821" s="31"/>
      <c r="C2821" s="31"/>
      <c r="D2821" s="83"/>
      <c r="E2821" s="83"/>
      <c r="F2821" s="83"/>
      <c r="G2821" s="31"/>
      <c r="H2821" s="31"/>
    </row>
    <row r="2822" spans="1:8">
      <c r="A2822" s="31"/>
      <c r="C2822" s="31"/>
      <c r="D2822" s="83"/>
      <c r="E2822" s="83"/>
      <c r="F2822" s="83"/>
      <c r="G2822" s="31"/>
      <c r="H2822" s="31"/>
    </row>
    <row r="2823" spans="1:8">
      <c r="A2823" s="31"/>
      <c r="C2823" s="31"/>
      <c r="D2823" s="83"/>
      <c r="E2823" s="83"/>
      <c r="F2823" s="83"/>
      <c r="G2823" s="31"/>
      <c r="H2823" s="31"/>
    </row>
    <row r="2824" spans="1:8">
      <c r="A2824" s="31"/>
      <c r="C2824" s="31"/>
      <c r="D2824" s="83"/>
      <c r="E2824" s="83"/>
      <c r="F2824" s="83"/>
      <c r="G2824" s="31"/>
      <c r="H2824" s="31"/>
    </row>
    <row r="2825" spans="1:8">
      <c r="A2825" s="31"/>
      <c r="C2825" s="31"/>
      <c r="D2825" s="83"/>
      <c r="E2825" s="83"/>
      <c r="F2825" s="83"/>
      <c r="G2825" s="31"/>
      <c r="H2825" s="31"/>
    </row>
    <row r="2826" spans="1:8">
      <c r="A2826" s="31"/>
      <c r="C2826" s="31"/>
      <c r="D2826" s="83"/>
      <c r="E2826" s="83"/>
      <c r="F2826" s="83"/>
      <c r="G2826" s="31"/>
      <c r="H2826" s="31"/>
    </row>
    <row r="2827" spans="1:8">
      <c r="A2827" s="31"/>
      <c r="C2827" s="31"/>
      <c r="D2827" s="83"/>
      <c r="E2827" s="83"/>
      <c r="F2827" s="83"/>
      <c r="G2827" s="31"/>
      <c r="H2827" s="31"/>
    </row>
    <row r="2828" spans="1:8">
      <c r="A2828" s="31"/>
      <c r="C2828" s="31"/>
      <c r="D2828" s="83"/>
      <c r="E2828" s="83"/>
      <c r="F2828" s="83"/>
      <c r="G2828" s="31"/>
      <c r="H2828" s="31"/>
    </row>
    <row r="2829" spans="1:8">
      <c r="A2829" s="31"/>
      <c r="C2829" s="31"/>
      <c r="D2829" s="83"/>
      <c r="E2829" s="83"/>
      <c r="F2829" s="83"/>
      <c r="G2829" s="31"/>
      <c r="H2829" s="31"/>
    </row>
    <row r="2830" spans="1:8">
      <c r="A2830" s="31"/>
      <c r="C2830" s="31"/>
      <c r="D2830" s="83"/>
      <c r="E2830" s="83"/>
      <c r="F2830" s="83"/>
      <c r="G2830" s="31"/>
      <c r="H2830" s="31"/>
    </row>
    <row r="2831" spans="1:8">
      <c r="A2831" s="31"/>
      <c r="C2831" s="31"/>
      <c r="D2831" s="83"/>
      <c r="E2831" s="83"/>
      <c r="F2831" s="83"/>
      <c r="G2831" s="31"/>
      <c r="H2831" s="31"/>
    </row>
    <row r="2832" spans="1:8">
      <c r="A2832" s="31"/>
      <c r="C2832" s="31"/>
      <c r="D2832" s="83"/>
      <c r="E2832" s="83"/>
      <c r="F2832" s="83"/>
      <c r="G2832" s="31"/>
      <c r="H2832" s="31"/>
    </row>
    <row r="2833" spans="1:8">
      <c r="A2833" s="31"/>
      <c r="C2833" s="31"/>
      <c r="D2833" s="83"/>
      <c r="E2833" s="83"/>
      <c r="F2833" s="83"/>
      <c r="G2833" s="31"/>
      <c r="H2833" s="31"/>
    </row>
    <row r="2834" spans="1:8">
      <c r="A2834" s="31"/>
      <c r="C2834" s="31"/>
      <c r="D2834" s="83"/>
      <c r="E2834" s="83"/>
      <c r="F2834" s="83"/>
      <c r="G2834" s="31"/>
      <c r="H2834" s="31"/>
    </row>
    <row r="2835" spans="1:8">
      <c r="A2835" s="31"/>
      <c r="C2835" s="31"/>
      <c r="D2835" s="83"/>
      <c r="E2835" s="83"/>
      <c r="F2835" s="83"/>
      <c r="G2835" s="31"/>
      <c r="H2835" s="31"/>
    </row>
    <row r="2836" spans="1:8">
      <c r="A2836" s="31"/>
      <c r="C2836" s="31"/>
      <c r="D2836" s="83"/>
      <c r="E2836" s="83"/>
      <c r="F2836" s="83"/>
      <c r="G2836" s="31"/>
      <c r="H2836" s="31"/>
    </row>
    <row r="2837" spans="1:8">
      <c r="A2837" s="31"/>
      <c r="C2837" s="31"/>
      <c r="D2837" s="83"/>
      <c r="E2837" s="83"/>
      <c r="F2837" s="83"/>
      <c r="G2837" s="31"/>
      <c r="H2837" s="31"/>
    </row>
    <row r="2838" spans="1:8">
      <c r="A2838" s="31"/>
      <c r="C2838" s="31"/>
      <c r="D2838" s="83"/>
      <c r="E2838" s="83"/>
      <c r="F2838" s="83"/>
      <c r="G2838" s="31"/>
      <c r="H2838" s="31"/>
    </row>
    <row r="2839" spans="1:8">
      <c r="A2839" s="31"/>
      <c r="C2839" s="31"/>
      <c r="D2839" s="83"/>
      <c r="E2839" s="83"/>
      <c r="F2839" s="83"/>
      <c r="G2839" s="31"/>
      <c r="H2839" s="31"/>
    </row>
    <row r="2840" spans="1:8">
      <c r="A2840" s="31"/>
      <c r="C2840" s="31"/>
      <c r="D2840" s="83"/>
      <c r="E2840" s="83"/>
      <c r="F2840" s="83"/>
      <c r="G2840" s="31"/>
      <c r="H2840" s="31"/>
    </row>
    <row r="2841" spans="1:8">
      <c r="A2841" s="31"/>
      <c r="C2841" s="31"/>
      <c r="D2841" s="83"/>
      <c r="E2841" s="83"/>
      <c r="F2841" s="83"/>
      <c r="G2841" s="31"/>
      <c r="H2841" s="31"/>
    </row>
    <row r="2842" spans="1:8">
      <c r="A2842" s="31"/>
      <c r="C2842" s="31"/>
      <c r="D2842" s="83"/>
      <c r="E2842" s="83"/>
      <c r="F2842" s="83"/>
      <c r="G2842" s="31"/>
      <c r="H2842" s="31"/>
    </row>
    <row r="2843" spans="1:8">
      <c r="A2843" s="31"/>
      <c r="C2843" s="31"/>
      <c r="D2843" s="83"/>
      <c r="E2843" s="83"/>
      <c r="F2843" s="83"/>
      <c r="G2843" s="31"/>
      <c r="H2843" s="31"/>
    </row>
    <row r="2844" spans="1:8">
      <c r="A2844" s="31"/>
      <c r="C2844" s="31"/>
      <c r="D2844" s="83"/>
      <c r="E2844" s="83"/>
      <c r="F2844" s="83"/>
      <c r="G2844" s="31"/>
      <c r="H2844" s="31"/>
    </row>
    <row r="2845" spans="1:8">
      <c r="A2845" s="31"/>
      <c r="C2845" s="31"/>
      <c r="D2845" s="83"/>
      <c r="E2845" s="83"/>
      <c r="F2845" s="83"/>
      <c r="G2845" s="31"/>
      <c r="H2845" s="31"/>
    </row>
    <row r="2846" spans="1:8">
      <c r="A2846" s="31"/>
      <c r="C2846" s="31"/>
      <c r="D2846" s="83"/>
      <c r="E2846" s="83"/>
      <c r="F2846" s="83"/>
      <c r="G2846" s="31"/>
      <c r="H2846" s="31"/>
    </row>
    <row r="2847" spans="1:8">
      <c r="A2847" s="31"/>
      <c r="C2847" s="31"/>
      <c r="D2847" s="83"/>
      <c r="E2847" s="83"/>
      <c r="F2847" s="83"/>
      <c r="G2847" s="31"/>
      <c r="H2847" s="31"/>
    </row>
    <row r="2848" spans="1:8">
      <c r="A2848" s="31"/>
      <c r="C2848" s="31"/>
      <c r="D2848" s="83"/>
      <c r="E2848" s="83"/>
      <c r="F2848" s="83"/>
      <c r="G2848" s="31"/>
      <c r="H2848" s="31"/>
    </row>
    <row r="2849" spans="1:8">
      <c r="A2849" s="31"/>
      <c r="C2849" s="31"/>
      <c r="D2849" s="83"/>
      <c r="E2849" s="83"/>
      <c r="F2849" s="83"/>
      <c r="G2849" s="31"/>
      <c r="H2849" s="31"/>
    </row>
    <row r="2850" spans="1:8">
      <c r="A2850" s="31"/>
      <c r="C2850" s="31"/>
      <c r="D2850" s="83"/>
      <c r="E2850" s="83"/>
      <c r="F2850" s="83"/>
      <c r="G2850" s="31"/>
      <c r="H2850" s="31"/>
    </row>
    <row r="2851" spans="1:8">
      <c r="A2851" s="31"/>
      <c r="C2851" s="31"/>
      <c r="D2851" s="83"/>
      <c r="E2851" s="83"/>
      <c r="F2851" s="83"/>
      <c r="G2851" s="31"/>
      <c r="H2851" s="31"/>
    </row>
    <row r="2852" spans="1:8">
      <c r="A2852" s="31"/>
      <c r="C2852" s="31"/>
      <c r="D2852" s="83"/>
      <c r="E2852" s="83"/>
      <c r="F2852" s="83"/>
      <c r="G2852" s="31"/>
      <c r="H2852" s="31"/>
    </row>
    <row r="2853" spans="1:8">
      <c r="A2853" s="31"/>
      <c r="C2853" s="31"/>
      <c r="D2853" s="83"/>
      <c r="E2853" s="83"/>
      <c r="F2853" s="83"/>
      <c r="G2853" s="31"/>
      <c r="H2853" s="31"/>
    </row>
    <row r="2854" spans="1:8">
      <c r="A2854" s="31"/>
      <c r="C2854" s="31"/>
      <c r="D2854" s="83"/>
      <c r="E2854" s="83"/>
      <c r="F2854" s="83"/>
      <c r="G2854" s="31"/>
      <c r="H2854" s="31"/>
    </row>
    <row r="2855" spans="1:8">
      <c r="A2855" s="31"/>
      <c r="C2855" s="31"/>
      <c r="D2855" s="83"/>
      <c r="E2855" s="83"/>
      <c r="F2855" s="83"/>
      <c r="G2855" s="31"/>
      <c r="H2855" s="31"/>
    </row>
    <row r="2856" spans="1:8">
      <c r="A2856" s="31"/>
      <c r="C2856" s="31"/>
      <c r="D2856" s="83"/>
      <c r="E2856" s="83"/>
      <c r="F2856" s="83"/>
      <c r="G2856" s="31"/>
      <c r="H2856" s="31"/>
    </row>
    <row r="2857" spans="1:8">
      <c r="A2857" s="31"/>
      <c r="C2857" s="31"/>
      <c r="D2857" s="83"/>
      <c r="E2857" s="83"/>
      <c r="F2857" s="83"/>
      <c r="G2857" s="31"/>
      <c r="H2857" s="31"/>
    </row>
    <row r="2858" spans="1:8">
      <c r="A2858" s="31"/>
      <c r="C2858" s="31"/>
      <c r="D2858" s="83"/>
      <c r="E2858" s="83"/>
      <c r="F2858" s="83"/>
      <c r="G2858" s="31"/>
      <c r="H2858" s="31"/>
    </row>
    <row r="2859" spans="1:8">
      <c r="A2859" s="31"/>
      <c r="C2859" s="31"/>
      <c r="D2859" s="83"/>
      <c r="E2859" s="83"/>
      <c r="F2859" s="83"/>
      <c r="G2859" s="31"/>
      <c r="H2859" s="31"/>
    </row>
    <row r="2860" spans="1:8">
      <c r="A2860" s="31"/>
      <c r="C2860" s="31"/>
      <c r="D2860" s="83"/>
      <c r="E2860" s="83"/>
      <c r="F2860" s="83"/>
      <c r="G2860" s="31"/>
      <c r="H2860" s="31"/>
    </row>
    <row r="2861" spans="1:8">
      <c r="A2861" s="31"/>
      <c r="C2861" s="31"/>
      <c r="D2861" s="83"/>
      <c r="E2861" s="83"/>
      <c r="F2861" s="83"/>
      <c r="G2861" s="31"/>
      <c r="H2861" s="31"/>
    </row>
    <row r="2862" spans="1:8">
      <c r="A2862" s="31"/>
      <c r="C2862" s="31"/>
      <c r="D2862" s="83"/>
      <c r="E2862" s="83"/>
      <c r="F2862" s="83"/>
      <c r="G2862" s="31"/>
      <c r="H2862" s="31"/>
    </row>
    <row r="2863" spans="1:8">
      <c r="A2863" s="31"/>
      <c r="C2863" s="31"/>
      <c r="D2863" s="83"/>
      <c r="E2863" s="83"/>
      <c r="F2863" s="83"/>
      <c r="G2863" s="31"/>
      <c r="H2863" s="31"/>
    </row>
    <row r="2864" spans="1:8">
      <c r="A2864" s="31"/>
      <c r="C2864" s="31"/>
      <c r="D2864" s="83"/>
      <c r="E2864" s="83"/>
      <c r="F2864" s="83"/>
      <c r="G2864" s="31"/>
      <c r="H2864" s="31"/>
    </row>
    <row r="2865" spans="1:8">
      <c r="A2865" s="31"/>
      <c r="C2865" s="31"/>
      <c r="D2865" s="83"/>
      <c r="E2865" s="83"/>
      <c r="F2865" s="83"/>
      <c r="G2865" s="31"/>
      <c r="H2865" s="31"/>
    </row>
    <row r="2866" spans="1:8">
      <c r="A2866" s="31"/>
      <c r="C2866" s="31"/>
      <c r="D2866" s="83"/>
      <c r="E2866" s="83"/>
      <c r="F2866" s="83"/>
      <c r="G2866" s="31"/>
      <c r="H2866" s="31"/>
    </row>
    <row r="2867" spans="1:8">
      <c r="A2867" s="31"/>
      <c r="C2867" s="31"/>
      <c r="D2867" s="83"/>
      <c r="E2867" s="83"/>
      <c r="F2867" s="83"/>
      <c r="G2867" s="31"/>
      <c r="H2867" s="31"/>
    </row>
    <row r="2868" spans="1:8">
      <c r="A2868" s="31"/>
      <c r="C2868" s="31"/>
      <c r="D2868" s="83"/>
      <c r="E2868" s="83"/>
      <c r="F2868" s="83"/>
      <c r="G2868" s="31"/>
      <c r="H2868" s="31"/>
    </row>
    <row r="2869" spans="1:8">
      <c r="A2869" s="31"/>
      <c r="C2869" s="31"/>
      <c r="D2869" s="83"/>
      <c r="E2869" s="83"/>
      <c r="F2869" s="83"/>
      <c r="G2869" s="31"/>
      <c r="H2869" s="31"/>
    </row>
    <row r="2870" spans="1:8">
      <c r="A2870" s="31"/>
      <c r="C2870" s="31"/>
      <c r="D2870" s="83"/>
      <c r="E2870" s="83"/>
      <c r="F2870" s="83"/>
      <c r="G2870" s="31"/>
      <c r="H2870" s="31"/>
    </row>
    <row r="2871" spans="1:8">
      <c r="A2871" s="31"/>
      <c r="C2871" s="31"/>
      <c r="D2871" s="83"/>
      <c r="E2871" s="83"/>
      <c r="F2871" s="83"/>
      <c r="G2871" s="31"/>
      <c r="H2871" s="31"/>
    </row>
    <row r="2872" spans="1:8">
      <c r="A2872" s="31"/>
      <c r="C2872" s="31"/>
      <c r="D2872" s="83"/>
      <c r="E2872" s="83"/>
      <c r="F2872" s="83"/>
      <c r="G2872" s="31"/>
      <c r="H2872" s="31"/>
    </row>
    <row r="2873" spans="1:8">
      <c r="A2873" s="31"/>
      <c r="C2873" s="31"/>
      <c r="D2873" s="83"/>
      <c r="E2873" s="83"/>
      <c r="F2873" s="83"/>
      <c r="G2873" s="31"/>
      <c r="H2873" s="31"/>
    </row>
    <row r="2874" spans="1:8">
      <c r="A2874" s="31"/>
      <c r="C2874" s="31"/>
      <c r="D2874" s="83"/>
      <c r="E2874" s="83"/>
      <c r="F2874" s="83"/>
      <c r="G2874" s="31"/>
      <c r="H2874" s="31"/>
    </row>
    <row r="2875" spans="1:8">
      <c r="A2875" s="31"/>
      <c r="C2875" s="31"/>
      <c r="D2875" s="83"/>
      <c r="E2875" s="83"/>
      <c r="F2875" s="83"/>
      <c r="G2875" s="31"/>
      <c r="H2875" s="31"/>
    </row>
    <row r="2876" spans="1:8">
      <c r="A2876" s="31"/>
      <c r="C2876" s="31"/>
      <c r="D2876" s="83"/>
      <c r="E2876" s="83"/>
      <c r="F2876" s="83"/>
      <c r="G2876" s="31"/>
      <c r="H2876" s="31"/>
    </row>
    <row r="2877" spans="1:8">
      <c r="A2877" s="31"/>
      <c r="C2877" s="31"/>
      <c r="D2877" s="83"/>
      <c r="E2877" s="83"/>
      <c r="F2877" s="83"/>
      <c r="G2877" s="31"/>
      <c r="H2877" s="31"/>
    </row>
    <row r="2878" spans="1:8">
      <c r="A2878" s="31"/>
      <c r="C2878" s="31"/>
      <c r="D2878" s="83"/>
      <c r="E2878" s="83"/>
      <c r="F2878" s="83"/>
      <c r="G2878" s="31"/>
      <c r="H2878" s="31"/>
    </row>
    <row r="2879" spans="1:8">
      <c r="A2879" s="31"/>
      <c r="C2879" s="31"/>
      <c r="D2879" s="83"/>
      <c r="E2879" s="83"/>
      <c r="F2879" s="83"/>
      <c r="G2879" s="31"/>
      <c r="H2879" s="31"/>
    </row>
    <row r="2880" spans="1:8">
      <c r="A2880" s="31"/>
      <c r="C2880" s="31"/>
      <c r="D2880" s="83"/>
      <c r="E2880" s="83"/>
      <c r="F2880" s="83"/>
      <c r="G2880" s="31"/>
      <c r="H2880" s="31"/>
    </row>
    <row r="2881" spans="1:8">
      <c r="A2881" s="31"/>
      <c r="C2881" s="31"/>
      <c r="D2881" s="83"/>
      <c r="E2881" s="83"/>
      <c r="F2881" s="83"/>
      <c r="G2881" s="31"/>
      <c r="H2881" s="31"/>
    </row>
    <row r="2882" spans="1:8">
      <c r="A2882" s="31"/>
      <c r="C2882" s="31"/>
      <c r="D2882" s="83"/>
      <c r="E2882" s="83"/>
      <c r="F2882" s="83"/>
      <c r="G2882" s="31"/>
      <c r="H2882" s="31"/>
    </row>
    <row r="2883" spans="1:8">
      <c r="A2883" s="31"/>
      <c r="C2883" s="31"/>
      <c r="D2883" s="83"/>
      <c r="E2883" s="83"/>
      <c r="F2883" s="83"/>
      <c r="G2883" s="31"/>
      <c r="H2883" s="31"/>
    </row>
    <row r="2884" spans="1:8">
      <c r="A2884" s="31"/>
      <c r="C2884" s="31"/>
      <c r="D2884" s="83"/>
      <c r="E2884" s="83"/>
      <c r="F2884" s="83"/>
      <c r="G2884" s="31"/>
      <c r="H2884" s="31"/>
    </row>
    <row r="2885" spans="1:8">
      <c r="A2885" s="31"/>
      <c r="C2885" s="31"/>
      <c r="D2885" s="83"/>
      <c r="E2885" s="83"/>
      <c r="F2885" s="83"/>
      <c r="G2885" s="31"/>
      <c r="H2885" s="31"/>
    </row>
    <row r="2886" spans="1:8">
      <c r="A2886" s="31"/>
      <c r="C2886" s="31"/>
      <c r="D2886" s="83"/>
      <c r="E2886" s="83"/>
      <c r="F2886" s="83"/>
      <c r="G2886" s="31"/>
      <c r="H2886" s="31"/>
    </row>
    <row r="2887" spans="1:8">
      <c r="A2887" s="31"/>
      <c r="C2887" s="31"/>
      <c r="D2887" s="83"/>
      <c r="E2887" s="83"/>
      <c r="F2887" s="83"/>
      <c r="G2887" s="31"/>
      <c r="H2887" s="31"/>
    </row>
    <row r="2888" spans="1:8">
      <c r="A2888" s="31"/>
      <c r="C2888" s="31"/>
      <c r="D2888" s="83"/>
      <c r="E2888" s="83"/>
      <c r="F2888" s="83"/>
      <c r="G2888" s="31"/>
      <c r="H2888" s="31"/>
    </row>
    <row r="2889" spans="1:8">
      <c r="A2889" s="31"/>
      <c r="C2889" s="31"/>
      <c r="D2889" s="83"/>
      <c r="E2889" s="83"/>
      <c r="F2889" s="83"/>
      <c r="G2889" s="31"/>
      <c r="H2889" s="31"/>
    </row>
    <row r="2890" spans="1:8">
      <c r="A2890" s="31"/>
      <c r="C2890" s="31"/>
      <c r="D2890" s="83"/>
      <c r="E2890" s="83"/>
      <c r="F2890" s="83"/>
      <c r="G2890" s="31"/>
      <c r="H2890" s="31"/>
    </row>
    <row r="2891" spans="1:8">
      <c r="A2891" s="31"/>
      <c r="C2891" s="31"/>
      <c r="D2891" s="83"/>
      <c r="E2891" s="83"/>
      <c r="F2891" s="83"/>
      <c r="G2891" s="31"/>
      <c r="H2891" s="31"/>
    </row>
    <row r="2892" spans="1:8">
      <c r="A2892" s="31"/>
      <c r="C2892" s="31"/>
      <c r="D2892" s="83"/>
      <c r="E2892" s="83"/>
      <c r="F2892" s="83"/>
      <c r="G2892" s="31"/>
      <c r="H2892" s="31"/>
    </row>
    <row r="2893" spans="1:8">
      <c r="A2893" s="31"/>
      <c r="C2893" s="31"/>
      <c r="D2893" s="83"/>
      <c r="E2893" s="83"/>
      <c r="F2893" s="83"/>
      <c r="G2893" s="31"/>
      <c r="H2893" s="31"/>
    </row>
    <row r="2894" spans="1:8">
      <c r="A2894" s="31"/>
      <c r="C2894" s="31"/>
      <c r="D2894" s="83"/>
      <c r="E2894" s="83"/>
      <c r="F2894" s="83"/>
      <c r="G2894" s="31"/>
      <c r="H2894" s="31"/>
    </row>
    <row r="2895" spans="1:8">
      <c r="A2895" s="31"/>
      <c r="C2895" s="31"/>
      <c r="D2895" s="83"/>
      <c r="E2895" s="83"/>
      <c r="F2895" s="83"/>
      <c r="G2895" s="31"/>
      <c r="H2895" s="31"/>
    </row>
    <row r="2896" spans="1:8">
      <c r="A2896" s="31"/>
      <c r="C2896" s="31"/>
      <c r="D2896" s="83"/>
      <c r="E2896" s="83"/>
      <c r="F2896" s="83"/>
      <c r="G2896" s="31"/>
      <c r="H2896" s="31"/>
    </row>
    <row r="2897" spans="1:8">
      <c r="A2897" s="31"/>
      <c r="C2897" s="31"/>
      <c r="D2897" s="83"/>
      <c r="E2897" s="83"/>
      <c r="F2897" s="83"/>
      <c r="G2897" s="31"/>
      <c r="H2897" s="31"/>
    </row>
    <row r="2898" spans="1:8">
      <c r="A2898" s="31"/>
      <c r="C2898" s="31"/>
      <c r="D2898" s="83"/>
      <c r="E2898" s="83"/>
      <c r="F2898" s="83"/>
      <c r="G2898" s="31"/>
      <c r="H2898" s="31"/>
    </row>
    <row r="2899" spans="1:8">
      <c r="A2899" s="31"/>
      <c r="C2899" s="31"/>
      <c r="D2899" s="83"/>
      <c r="E2899" s="83"/>
      <c r="F2899" s="83"/>
      <c r="G2899" s="31"/>
      <c r="H2899" s="31"/>
    </row>
    <row r="2900" spans="1:8">
      <c r="A2900" s="31"/>
      <c r="C2900" s="31"/>
      <c r="D2900" s="83"/>
      <c r="E2900" s="83"/>
      <c r="F2900" s="83"/>
      <c r="G2900" s="31"/>
      <c r="H2900" s="31"/>
    </row>
    <row r="2901" spans="1:8">
      <c r="A2901" s="31"/>
      <c r="C2901" s="31"/>
      <c r="D2901" s="83"/>
      <c r="E2901" s="83"/>
      <c r="F2901" s="83"/>
      <c r="G2901" s="31"/>
      <c r="H2901" s="31"/>
    </row>
    <row r="2902" spans="1:8">
      <c r="A2902" s="31"/>
      <c r="C2902" s="31"/>
      <c r="D2902" s="83"/>
      <c r="E2902" s="83"/>
      <c r="F2902" s="83"/>
      <c r="G2902" s="31"/>
      <c r="H2902" s="31"/>
    </row>
    <row r="2903" spans="1:8">
      <c r="A2903" s="31"/>
      <c r="C2903" s="31"/>
      <c r="D2903" s="83"/>
      <c r="E2903" s="83"/>
      <c r="F2903" s="83"/>
      <c r="G2903" s="31"/>
      <c r="H2903" s="31"/>
    </row>
    <row r="2904" spans="1:8">
      <c r="A2904" s="31"/>
      <c r="C2904" s="31"/>
      <c r="D2904" s="83"/>
      <c r="E2904" s="83"/>
      <c r="F2904" s="83"/>
      <c r="G2904" s="31"/>
      <c r="H2904" s="31"/>
    </row>
    <row r="2905" spans="1:8">
      <c r="A2905" s="31"/>
      <c r="C2905" s="31"/>
      <c r="D2905" s="83"/>
      <c r="E2905" s="83"/>
      <c r="F2905" s="83"/>
      <c r="G2905" s="31"/>
      <c r="H2905" s="31"/>
    </row>
    <row r="2906" spans="1:8">
      <c r="A2906" s="31"/>
      <c r="C2906" s="31"/>
      <c r="D2906" s="83"/>
      <c r="E2906" s="83"/>
      <c r="F2906" s="83"/>
      <c r="G2906" s="31"/>
      <c r="H2906" s="31"/>
    </row>
    <row r="2907" spans="1:8">
      <c r="A2907" s="31"/>
      <c r="C2907" s="31"/>
      <c r="D2907" s="83"/>
      <c r="E2907" s="83"/>
      <c r="F2907" s="83"/>
      <c r="G2907" s="31"/>
      <c r="H2907" s="31"/>
    </row>
    <row r="2908" spans="1:8">
      <c r="A2908" s="31"/>
      <c r="C2908" s="31"/>
      <c r="D2908" s="83"/>
      <c r="E2908" s="83"/>
      <c r="F2908" s="83"/>
      <c r="G2908" s="31"/>
      <c r="H2908" s="31"/>
    </row>
    <row r="2909" spans="1:8">
      <c r="A2909" s="31"/>
      <c r="C2909" s="31"/>
      <c r="D2909" s="83"/>
      <c r="E2909" s="83"/>
      <c r="F2909" s="83"/>
      <c r="G2909" s="31"/>
      <c r="H2909" s="31"/>
    </row>
    <row r="2910" spans="1:8">
      <c r="A2910" s="31"/>
      <c r="C2910" s="31"/>
      <c r="D2910" s="83"/>
      <c r="E2910" s="83"/>
      <c r="F2910" s="83"/>
      <c r="G2910" s="31"/>
      <c r="H2910" s="31"/>
    </row>
    <row r="2911" spans="1:8">
      <c r="A2911" s="31"/>
      <c r="C2911" s="31"/>
      <c r="D2911" s="83"/>
      <c r="E2911" s="83"/>
      <c r="F2911" s="83"/>
      <c r="G2911" s="31"/>
      <c r="H2911" s="31"/>
    </row>
    <row r="2912" spans="1:8">
      <c r="A2912" s="31"/>
      <c r="C2912" s="31"/>
      <c r="D2912" s="83"/>
      <c r="E2912" s="83"/>
      <c r="F2912" s="83"/>
      <c r="G2912" s="31"/>
      <c r="H2912" s="31"/>
    </row>
    <row r="2913" spans="1:8">
      <c r="A2913" s="31"/>
      <c r="C2913" s="31"/>
      <c r="D2913" s="83"/>
      <c r="E2913" s="83"/>
      <c r="F2913" s="83"/>
      <c r="G2913" s="31"/>
      <c r="H2913" s="31"/>
    </row>
    <row r="2914" spans="1:8">
      <c r="A2914" s="31"/>
      <c r="C2914" s="31"/>
      <c r="D2914" s="83"/>
      <c r="E2914" s="83"/>
      <c r="F2914" s="83"/>
      <c r="G2914" s="31"/>
      <c r="H2914" s="31"/>
    </row>
    <row r="2915" spans="1:8">
      <c r="A2915" s="31"/>
      <c r="C2915" s="31"/>
      <c r="D2915" s="83"/>
      <c r="E2915" s="83"/>
      <c r="F2915" s="83"/>
      <c r="G2915" s="31"/>
      <c r="H2915" s="31"/>
    </row>
    <row r="2916" spans="1:8">
      <c r="A2916" s="31"/>
      <c r="C2916" s="31"/>
      <c r="D2916" s="83"/>
      <c r="E2916" s="83"/>
      <c r="F2916" s="83"/>
      <c r="G2916" s="31"/>
      <c r="H2916" s="31"/>
    </row>
    <row r="2917" spans="1:8">
      <c r="A2917" s="31"/>
      <c r="C2917" s="31"/>
      <c r="D2917" s="83"/>
      <c r="E2917" s="83"/>
      <c r="F2917" s="83"/>
      <c r="G2917" s="31"/>
      <c r="H2917" s="31"/>
    </row>
    <row r="2918" spans="1:8">
      <c r="A2918" s="31"/>
      <c r="C2918" s="31"/>
      <c r="D2918" s="83"/>
      <c r="E2918" s="83"/>
      <c r="F2918" s="83"/>
      <c r="G2918" s="31"/>
      <c r="H2918" s="31"/>
    </row>
    <row r="2919" spans="1:8">
      <c r="A2919" s="31"/>
      <c r="C2919" s="31"/>
      <c r="D2919" s="83"/>
      <c r="E2919" s="83"/>
      <c r="F2919" s="83"/>
      <c r="G2919" s="31"/>
      <c r="H2919" s="31"/>
    </row>
    <row r="2920" spans="1:8">
      <c r="A2920" s="31"/>
      <c r="C2920" s="31"/>
      <c r="D2920" s="83"/>
      <c r="E2920" s="83"/>
      <c r="F2920" s="83"/>
      <c r="G2920" s="31"/>
      <c r="H2920" s="31"/>
    </row>
    <row r="2921" spans="1:8">
      <c r="A2921" s="31"/>
      <c r="C2921" s="31"/>
      <c r="D2921" s="83"/>
      <c r="E2921" s="83"/>
      <c r="F2921" s="83"/>
      <c r="G2921" s="31"/>
      <c r="H2921" s="31"/>
    </row>
    <row r="2922" spans="1:8">
      <c r="A2922" s="31"/>
      <c r="C2922" s="31"/>
      <c r="D2922" s="83"/>
      <c r="E2922" s="83"/>
      <c r="F2922" s="83"/>
      <c r="G2922" s="31"/>
      <c r="H2922" s="31"/>
    </row>
    <row r="2923" spans="1:8">
      <c r="A2923" s="31"/>
      <c r="C2923" s="31"/>
      <c r="D2923" s="83"/>
      <c r="E2923" s="83"/>
      <c r="F2923" s="83"/>
      <c r="G2923" s="31"/>
      <c r="H2923" s="31"/>
    </row>
    <row r="2924" spans="1:8">
      <c r="A2924" s="31"/>
      <c r="C2924" s="31"/>
      <c r="D2924" s="83"/>
      <c r="E2924" s="83"/>
      <c r="F2924" s="83"/>
      <c r="G2924" s="31"/>
      <c r="H2924" s="31"/>
    </row>
    <row r="2925" spans="1:8">
      <c r="A2925" s="31"/>
      <c r="C2925" s="31"/>
      <c r="D2925" s="83"/>
      <c r="E2925" s="83"/>
      <c r="F2925" s="83"/>
      <c r="G2925" s="31"/>
      <c r="H2925" s="31"/>
    </row>
    <row r="2926" spans="1:8">
      <c r="A2926" s="31"/>
      <c r="C2926" s="31"/>
      <c r="D2926" s="83"/>
      <c r="E2926" s="83"/>
      <c r="F2926" s="83"/>
      <c r="G2926" s="31"/>
      <c r="H2926" s="31"/>
    </row>
    <row r="2927" spans="1:8">
      <c r="A2927" s="31"/>
      <c r="C2927" s="31"/>
      <c r="D2927" s="83"/>
      <c r="E2927" s="83"/>
      <c r="F2927" s="83"/>
      <c r="G2927" s="31"/>
      <c r="H2927" s="31"/>
    </row>
    <row r="2928" spans="1:8">
      <c r="A2928" s="31"/>
      <c r="C2928" s="31"/>
      <c r="D2928" s="83"/>
      <c r="E2928" s="83"/>
      <c r="F2928" s="83"/>
      <c r="G2928" s="31"/>
      <c r="H2928" s="31"/>
    </row>
    <row r="2929" spans="1:8">
      <c r="A2929" s="31"/>
      <c r="C2929" s="31"/>
      <c r="D2929" s="83"/>
      <c r="E2929" s="83"/>
      <c r="F2929" s="83"/>
      <c r="G2929" s="31"/>
      <c r="H2929" s="31"/>
    </row>
    <row r="2930" spans="1:8">
      <c r="A2930" s="31"/>
      <c r="C2930" s="31"/>
      <c r="D2930" s="83"/>
      <c r="E2930" s="83"/>
      <c r="F2930" s="83"/>
      <c r="G2930" s="31"/>
      <c r="H2930" s="31"/>
    </row>
    <row r="2931" spans="1:8">
      <c r="A2931" s="31"/>
      <c r="C2931" s="31"/>
      <c r="D2931" s="83"/>
      <c r="E2931" s="83"/>
      <c r="F2931" s="83"/>
      <c r="G2931" s="31"/>
      <c r="H2931" s="31"/>
    </row>
    <row r="2932" spans="1:8">
      <c r="A2932" s="31"/>
      <c r="C2932" s="31"/>
      <c r="D2932" s="83"/>
      <c r="E2932" s="83"/>
      <c r="F2932" s="83"/>
      <c r="G2932" s="31"/>
      <c r="H2932" s="31"/>
    </row>
    <row r="2933" spans="1:8">
      <c r="A2933" s="31"/>
      <c r="C2933" s="31"/>
      <c r="D2933" s="83"/>
      <c r="E2933" s="83"/>
      <c r="F2933" s="83"/>
      <c r="G2933" s="31"/>
      <c r="H2933" s="31"/>
    </row>
    <row r="2934" spans="1:8">
      <c r="A2934" s="31"/>
      <c r="C2934" s="31"/>
      <c r="D2934" s="83"/>
      <c r="E2934" s="83"/>
      <c r="F2934" s="83"/>
      <c r="G2934" s="31"/>
      <c r="H2934" s="31"/>
    </row>
    <row r="2935" spans="1:8">
      <c r="A2935" s="31"/>
      <c r="C2935" s="31"/>
      <c r="D2935" s="83"/>
      <c r="E2935" s="83"/>
      <c r="F2935" s="83"/>
      <c r="G2935" s="31"/>
      <c r="H2935" s="31"/>
    </row>
    <row r="2936" spans="1:8">
      <c r="A2936" s="31"/>
      <c r="C2936" s="31"/>
      <c r="D2936" s="83"/>
      <c r="E2936" s="83"/>
      <c r="F2936" s="83"/>
      <c r="G2936" s="31"/>
      <c r="H2936" s="31"/>
    </row>
    <row r="2937" spans="1:8">
      <c r="A2937" s="31"/>
      <c r="C2937" s="31"/>
      <c r="D2937" s="83"/>
      <c r="E2937" s="83"/>
      <c r="F2937" s="83"/>
      <c r="G2937" s="31"/>
      <c r="H2937" s="31"/>
    </row>
    <row r="2938" spans="1:8">
      <c r="A2938" s="31"/>
      <c r="C2938" s="31"/>
      <c r="D2938" s="83"/>
      <c r="E2938" s="83"/>
      <c r="F2938" s="83"/>
      <c r="G2938" s="31"/>
      <c r="H2938" s="31"/>
    </row>
    <row r="2939" spans="1:8">
      <c r="A2939" s="31"/>
      <c r="C2939" s="31"/>
      <c r="D2939" s="83"/>
      <c r="E2939" s="83"/>
      <c r="F2939" s="83"/>
      <c r="G2939" s="31"/>
      <c r="H2939" s="31"/>
    </row>
    <row r="2940" spans="1:8">
      <c r="A2940" s="31"/>
      <c r="C2940" s="31"/>
      <c r="D2940" s="83"/>
      <c r="E2940" s="83"/>
      <c r="F2940" s="83"/>
      <c r="G2940" s="31"/>
      <c r="H2940" s="31"/>
    </row>
    <row r="2941" spans="1:8">
      <c r="A2941" s="31"/>
      <c r="C2941" s="31"/>
      <c r="D2941" s="83"/>
      <c r="E2941" s="83"/>
      <c r="F2941" s="83"/>
      <c r="G2941" s="31"/>
      <c r="H2941" s="31"/>
    </row>
    <row r="2942" spans="1:8">
      <c r="A2942" s="31"/>
      <c r="C2942" s="31"/>
      <c r="D2942" s="83"/>
      <c r="E2942" s="83"/>
      <c r="F2942" s="83"/>
      <c r="G2942" s="31"/>
      <c r="H2942" s="31"/>
    </row>
    <row r="2943" spans="1:8">
      <c r="A2943" s="31"/>
      <c r="C2943" s="31"/>
      <c r="D2943" s="83"/>
      <c r="E2943" s="83"/>
      <c r="F2943" s="83"/>
      <c r="G2943" s="31"/>
      <c r="H2943" s="31"/>
    </row>
    <row r="2944" spans="1:8">
      <c r="A2944" s="31"/>
      <c r="C2944" s="31"/>
      <c r="D2944" s="83"/>
      <c r="E2944" s="83"/>
      <c r="F2944" s="83"/>
      <c r="G2944" s="31"/>
      <c r="H2944" s="31"/>
    </row>
    <row r="2945" spans="1:8">
      <c r="A2945" s="31"/>
      <c r="C2945" s="31"/>
      <c r="D2945" s="83"/>
      <c r="E2945" s="83"/>
      <c r="F2945" s="83"/>
      <c r="G2945" s="31"/>
      <c r="H2945" s="31"/>
    </row>
    <row r="2946" spans="1:8">
      <c r="A2946" s="31"/>
      <c r="C2946" s="31"/>
      <c r="D2946" s="83"/>
      <c r="E2946" s="83"/>
      <c r="F2946" s="83"/>
      <c r="G2946" s="31"/>
      <c r="H2946" s="31"/>
    </row>
    <row r="2947" spans="1:8">
      <c r="A2947" s="31"/>
      <c r="C2947" s="31"/>
      <c r="D2947" s="83"/>
      <c r="E2947" s="83"/>
      <c r="F2947" s="83"/>
      <c r="G2947" s="31"/>
      <c r="H2947" s="31"/>
    </row>
    <row r="2948" spans="1:8">
      <c r="A2948" s="31"/>
      <c r="C2948" s="31"/>
      <c r="D2948" s="83"/>
      <c r="E2948" s="83"/>
      <c r="F2948" s="83"/>
      <c r="G2948" s="31"/>
      <c r="H2948" s="31"/>
    </row>
    <row r="2949" spans="1:8">
      <c r="A2949" s="31"/>
      <c r="C2949" s="31"/>
      <c r="D2949" s="83"/>
      <c r="E2949" s="83"/>
      <c r="F2949" s="83"/>
      <c r="G2949" s="31"/>
      <c r="H2949" s="31"/>
    </row>
    <row r="2950" spans="1:8">
      <c r="A2950" s="31"/>
      <c r="C2950" s="31"/>
      <c r="D2950" s="83"/>
      <c r="E2950" s="83"/>
      <c r="F2950" s="83"/>
      <c r="G2950" s="31"/>
      <c r="H2950" s="31"/>
    </row>
    <row r="2951" spans="1:8">
      <c r="A2951" s="31"/>
      <c r="C2951" s="31"/>
      <c r="D2951" s="83"/>
      <c r="E2951" s="83"/>
      <c r="F2951" s="83"/>
      <c r="G2951" s="31"/>
      <c r="H2951" s="31"/>
    </row>
    <row r="2952" spans="1:8">
      <c r="A2952" s="31"/>
      <c r="C2952" s="31"/>
      <c r="D2952" s="83"/>
      <c r="E2952" s="83"/>
      <c r="F2952" s="83"/>
      <c r="G2952" s="31"/>
      <c r="H2952" s="31"/>
    </row>
    <row r="2953" spans="1:8">
      <c r="A2953" s="31"/>
      <c r="C2953" s="31"/>
      <c r="D2953" s="83"/>
      <c r="E2953" s="83"/>
      <c r="F2953" s="83"/>
      <c r="G2953" s="31"/>
      <c r="H2953" s="31"/>
    </row>
    <row r="2954" spans="1:8">
      <c r="A2954" s="31"/>
      <c r="C2954" s="31"/>
      <c r="D2954" s="83"/>
      <c r="E2954" s="83"/>
      <c r="F2954" s="83"/>
      <c r="G2954" s="31"/>
      <c r="H2954" s="31"/>
    </row>
    <row r="2955" spans="1:8">
      <c r="A2955" s="31"/>
      <c r="C2955" s="31"/>
      <c r="D2955" s="83"/>
      <c r="E2955" s="83"/>
      <c r="F2955" s="83"/>
      <c r="G2955" s="31"/>
      <c r="H2955" s="31"/>
    </row>
    <row r="2956" spans="1:8">
      <c r="A2956" s="31"/>
      <c r="C2956" s="31"/>
      <c r="D2956" s="83"/>
      <c r="E2956" s="83"/>
      <c r="F2956" s="83"/>
      <c r="G2956" s="31"/>
      <c r="H2956" s="31"/>
    </row>
    <row r="2957" spans="1:8">
      <c r="A2957" s="31"/>
      <c r="C2957" s="31"/>
      <c r="D2957" s="83"/>
      <c r="E2957" s="83"/>
      <c r="F2957" s="83"/>
      <c r="G2957" s="31"/>
      <c r="H2957" s="31"/>
    </row>
    <row r="2958" spans="1:8">
      <c r="A2958" s="31"/>
      <c r="C2958" s="31"/>
      <c r="D2958" s="83"/>
      <c r="E2958" s="83"/>
      <c r="F2958" s="83"/>
      <c r="G2958" s="31"/>
      <c r="H2958" s="31"/>
    </row>
    <row r="2959" spans="1:8">
      <c r="A2959" s="31"/>
      <c r="C2959" s="31"/>
      <c r="D2959" s="83"/>
      <c r="E2959" s="83"/>
      <c r="F2959" s="83"/>
      <c r="G2959" s="31"/>
      <c r="H2959" s="31"/>
    </row>
    <row r="2960" spans="1:8">
      <c r="A2960" s="31"/>
      <c r="C2960" s="31"/>
      <c r="D2960" s="83"/>
      <c r="E2960" s="83"/>
      <c r="F2960" s="83"/>
      <c r="G2960" s="31"/>
      <c r="H2960" s="31"/>
    </row>
    <row r="2961" spans="1:8">
      <c r="A2961" s="31"/>
      <c r="C2961" s="31"/>
      <c r="D2961" s="83"/>
      <c r="E2961" s="83"/>
      <c r="F2961" s="83"/>
      <c r="G2961" s="31"/>
      <c r="H2961" s="31"/>
    </row>
    <row r="2962" spans="1:8">
      <c r="A2962" s="31"/>
      <c r="C2962" s="31"/>
      <c r="D2962" s="83"/>
      <c r="E2962" s="83"/>
      <c r="F2962" s="83"/>
      <c r="G2962" s="31"/>
      <c r="H2962" s="31"/>
    </row>
    <row r="2963" spans="1:8">
      <c r="A2963" s="31"/>
      <c r="C2963" s="31"/>
      <c r="D2963" s="83"/>
      <c r="E2963" s="83"/>
      <c r="F2963" s="83"/>
      <c r="G2963" s="31"/>
      <c r="H2963" s="31"/>
    </row>
    <row r="2964" spans="1:8">
      <c r="A2964" s="31"/>
      <c r="C2964" s="31"/>
      <c r="D2964" s="83"/>
      <c r="E2964" s="83"/>
      <c r="F2964" s="83"/>
      <c r="G2964" s="31"/>
      <c r="H2964" s="31"/>
    </row>
    <row r="2965" spans="1:8">
      <c r="A2965" s="31"/>
      <c r="C2965" s="31"/>
      <c r="D2965" s="83"/>
      <c r="E2965" s="83"/>
      <c r="F2965" s="83"/>
      <c r="G2965" s="31"/>
      <c r="H2965" s="31"/>
    </row>
    <row r="2966" spans="1:8">
      <c r="A2966" s="31"/>
      <c r="C2966" s="31"/>
      <c r="D2966" s="83"/>
      <c r="E2966" s="83"/>
      <c r="F2966" s="83"/>
      <c r="G2966" s="31"/>
      <c r="H2966" s="31"/>
    </row>
    <row r="2967" spans="1:8">
      <c r="A2967" s="31"/>
      <c r="C2967" s="31"/>
      <c r="D2967" s="83"/>
      <c r="E2967" s="83"/>
      <c r="F2967" s="83"/>
      <c r="G2967" s="31"/>
      <c r="H2967" s="31"/>
    </row>
    <row r="2968" spans="1:8">
      <c r="A2968" s="31"/>
      <c r="C2968" s="31"/>
      <c r="D2968" s="83"/>
      <c r="E2968" s="83"/>
      <c r="F2968" s="83"/>
      <c r="G2968" s="31"/>
      <c r="H2968" s="31"/>
    </row>
    <row r="2969" spans="1:8">
      <c r="A2969" s="31"/>
      <c r="C2969" s="31"/>
      <c r="D2969" s="83"/>
      <c r="E2969" s="83"/>
      <c r="F2969" s="83"/>
      <c r="G2969" s="31"/>
      <c r="H2969" s="31"/>
    </row>
    <row r="2970" spans="1:8">
      <c r="A2970" s="31"/>
      <c r="C2970" s="31"/>
      <c r="D2970" s="83"/>
      <c r="E2970" s="83"/>
      <c r="F2970" s="83"/>
      <c r="G2970" s="31"/>
      <c r="H2970" s="31"/>
    </row>
    <row r="2971" spans="1:8">
      <c r="A2971" s="31"/>
      <c r="C2971" s="31"/>
      <c r="D2971" s="83"/>
      <c r="E2971" s="83"/>
      <c r="F2971" s="83"/>
      <c r="G2971" s="31"/>
      <c r="H2971" s="31"/>
    </row>
    <row r="2972" spans="1:8">
      <c r="A2972" s="31"/>
      <c r="C2972" s="31"/>
      <c r="D2972" s="83"/>
      <c r="E2972" s="83"/>
      <c r="F2972" s="83"/>
      <c r="G2972" s="31"/>
      <c r="H2972" s="31"/>
    </row>
    <row r="2973" spans="1:8">
      <c r="A2973" s="31"/>
      <c r="C2973" s="31"/>
      <c r="D2973" s="83"/>
      <c r="E2973" s="83"/>
      <c r="F2973" s="83"/>
      <c r="G2973" s="31"/>
      <c r="H2973" s="31"/>
    </row>
    <row r="2974" spans="1:8">
      <c r="A2974" s="31"/>
      <c r="C2974" s="31"/>
      <c r="D2974" s="83"/>
      <c r="E2974" s="83"/>
      <c r="F2974" s="83"/>
      <c r="G2974" s="31"/>
      <c r="H2974" s="31"/>
    </row>
    <row r="2975" spans="1:8">
      <c r="A2975" s="31"/>
      <c r="C2975" s="31"/>
      <c r="D2975" s="83"/>
      <c r="E2975" s="83"/>
      <c r="F2975" s="83"/>
      <c r="G2975" s="31"/>
      <c r="H2975" s="31"/>
    </row>
    <row r="2976" spans="1:8">
      <c r="A2976" s="31"/>
      <c r="C2976" s="31"/>
      <c r="D2976" s="83"/>
      <c r="E2976" s="83"/>
      <c r="F2976" s="83"/>
      <c r="G2976" s="31"/>
      <c r="H2976" s="31"/>
    </row>
    <row r="2977" spans="1:8">
      <c r="A2977" s="31"/>
      <c r="C2977" s="31"/>
      <c r="D2977" s="83"/>
      <c r="E2977" s="83"/>
      <c r="F2977" s="83"/>
      <c r="G2977" s="31"/>
      <c r="H2977" s="31"/>
    </row>
    <row r="2978" spans="1:8">
      <c r="A2978" s="31"/>
      <c r="C2978" s="31"/>
      <c r="D2978" s="83"/>
      <c r="E2978" s="83"/>
      <c r="F2978" s="83"/>
      <c r="G2978" s="31"/>
      <c r="H2978" s="31"/>
    </row>
    <row r="2979" spans="1:8">
      <c r="A2979" s="31"/>
      <c r="C2979" s="31"/>
      <c r="D2979" s="83"/>
      <c r="E2979" s="83"/>
      <c r="F2979" s="83"/>
      <c r="G2979" s="31"/>
      <c r="H2979" s="31"/>
    </row>
    <row r="2980" spans="1:8">
      <c r="A2980" s="31"/>
      <c r="C2980" s="31"/>
      <c r="D2980" s="83"/>
      <c r="E2980" s="83"/>
      <c r="F2980" s="83"/>
      <c r="G2980" s="31"/>
      <c r="H2980" s="31"/>
    </row>
    <row r="2981" spans="1:8">
      <c r="A2981" s="31"/>
      <c r="C2981" s="31"/>
      <c r="D2981" s="83"/>
      <c r="E2981" s="83"/>
      <c r="F2981" s="83"/>
      <c r="G2981" s="31"/>
      <c r="H2981" s="31"/>
    </row>
    <row r="2982" spans="1:8">
      <c r="A2982" s="31"/>
      <c r="C2982" s="31"/>
      <c r="D2982" s="83"/>
      <c r="E2982" s="83"/>
      <c r="F2982" s="83"/>
      <c r="G2982" s="31"/>
      <c r="H2982" s="31"/>
    </row>
    <row r="2983" spans="1:8">
      <c r="A2983" s="31"/>
      <c r="C2983" s="31"/>
      <c r="D2983" s="83"/>
      <c r="E2983" s="83"/>
      <c r="F2983" s="83"/>
      <c r="G2983" s="31"/>
      <c r="H2983" s="31"/>
    </row>
    <row r="2984" spans="1:8">
      <c r="A2984" s="31"/>
      <c r="C2984" s="31"/>
      <c r="D2984" s="83"/>
      <c r="E2984" s="83"/>
      <c r="F2984" s="83"/>
      <c r="G2984" s="31"/>
      <c r="H2984" s="31"/>
    </row>
    <row r="2985" spans="1:8">
      <c r="A2985" s="31"/>
      <c r="C2985" s="31"/>
      <c r="D2985" s="83"/>
      <c r="E2985" s="83"/>
      <c r="F2985" s="83"/>
      <c r="G2985" s="31"/>
      <c r="H2985" s="31"/>
    </row>
    <row r="2986" spans="1:8">
      <c r="A2986" s="31"/>
      <c r="C2986" s="31"/>
      <c r="D2986" s="83"/>
      <c r="E2986" s="83"/>
      <c r="F2986" s="83"/>
      <c r="G2986" s="31"/>
      <c r="H2986" s="31"/>
    </row>
    <row r="2987" spans="1:8">
      <c r="A2987" s="31"/>
      <c r="C2987" s="31"/>
      <c r="D2987" s="83"/>
      <c r="E2987" s="83"/>
      <c r="F2987" s="83"/>
      <c r="G2987" s="31"/>
      <c r="H2987" s="31"/>
    </row>
    <row r="2988" spans="1:8">
      <c r="A2988" s="31"/>
      <c r="C2988" s="31"/>
      <c r="D2988" s="83"/>
      <c r="E2988" s="83"/>
      <c r="F2988" s="83"/>
      <c r="G2988" s="31"/>
      <c r="H2988" s="31"/>
    </row>
    <row r="2989" spans="1:8">
      <c r="A2989" s="31"/>
      <c r="C2989" s="31"/>
      <c r="D2989" s="83"/>
      <c r="E2989" s="83"/>
      <c r="F2989" s="83"/>
      <c r="G2989" s="31"/>
      <c r="H2989" s="31"/>
    </row>
    <row r="2990" spans="1:8">
      <c r="A2990" s="31"/>
      <c r="C2990" s="31"/>
      <c r="D2990" s="83"/>
      <c r="E2990" s="83"/>
      <c r="F2990" s="83"/>
      <c r="G2990" s="31"/>
      <c r="H2990" s="31"/>
    </row>
    <row r="2991" spans="1:8">
      <c r="A2991" s="31"/>
      <c r="C2991" s="31"/>
      <c r="D2991" s="83"/>
      <c r="E2991" s="83"/>
      <c r="F2991" s="83"/>
      <c r="G2991" s="31"/>
      <c r="H2991" s="31"/>
    </row>
    <row r="2992" spans="1:8">
      <c r="A2992" s="31"/>
      <c r="C2992" s="31"/>
      <c r="D2992" s="83"/>
      <c r="E2992" s="83"/>
      <c r="F2992" s="83"/>
      <c r="G2992" s="31"/>
      <c r="H2992" s="31"/>
    </row>
    <row r="2993" spans="1:8">
      <c r="A2993" s="31"/>
      <c r="C2993" s="31"/>
      <c r="D2993" s="83"/>
      <c r="E2993" s="83"/>
      <c r="F2993" s="83"/>
      <c r="G2993" s="31"/>
      <c r="H2993" s="31"/>
    </row>
    <row r="2994" spans="1:8">
      <c r="A2994" s="31"/>
      <c r="C2994" s="31"/>
      <c r="D2994" s="83"/>
      <c r="E2994" s="83"/>
      <c r="F2994" s="83"/>
      <c r="G2994" s="31"/>
      <c r="H2994" s="31"/>
    </row>
    <row r="2995" spans="1:8">
      <c r="A2995" s="31"/>
      <c r="C2995" s="31"/>
      <c r="D2995" s="83"/>
      <c r="E2995" s="83"/>
      <c r="F2995" s="83"/>
      <c r="G2995" s="31"/>
      <c r="H2995" s="31"/>
    </row>
    <row r="2996" spans="1:8">
      <c r="A2996" s="31"/>
      <c r="C2996" s="31"/>
      <c r="D2996" s="83"/>
      <c r="E2996" s="83"/>
      <c r="F2996" s="83"/>
      <c r="G2996" s="31"/>
      <c r="H2996" s="31"/>
    </row>
    <row r="2997" spans="1:8">
      <c r="A2997" s="31"/>
      <c r="C2997" s="31"/>
      <c r="D2997" s="83"/>
      <c r="E2997" s="83"/>
      <c r="F2997" s="83"/>
      <c r="G2997" s="31"/>
      <c r="H2997" s="31"/>
    </row>
    <row r="2998" spans="1:8">
      <c r="A2998" s="31"/>
      <c r="C2998" s="31"/>
      <c r="D2998" s="83"/>
      <c r="E2998" s="83"/>
      <c r="F2998" s="83"/>
      <c r="G2998" s="31"/>
      <c r="H2998" s="31"/>
    </row>
    <row r="2999" spans="1:8">
      <c r="A2999" s="31"/>
      <c r="C2999" s="31"/>
      <c r="D2999" s="83"/>
      <c r="E2999" s="83"/>
      <c r="F2999" s="83"/>
      <c r="G2999" s="31"/>
      <c r="H2999" s="31"/>
    </row>
    <row r="3000" spans="1:8">
      <c r="A3000" s="31"/>
      <c r="C3000" s="31"/>
      <c r="D3000" s="83"/>
      <c r="E3000" s="83"/>
      <c r="F3000" s="83"/>
      <c r="G3000" s="31"/>
      <c r="H3000" s="31"/>
    </row>
    <row r="3001" spans="1:8">
      <c r="A3001" s="31"/>
      <c r="C3001" s="31"/>
      <c r="D3001" s="83"/>
      <c r="E3001" s="83"/>
      <c r="F3001" s="83"/>
      <c r="G3001" s="31"/>
      <c r="H3001" s="31"/>
    </row>
    <row r="3002" spans="1:8">
      <c r="A3002" s="31"/>
      <c r="C3002" s="31"/>
      <c r="D3002" s="83"/>
      <c r="E3002" s="83"/>
      <c r="F3002" s="83"/>
      <c r="G3002" s="31"/>
      <c r="H3002" s="31"/>
    </row>
    <row r="3003" spans="1:8">
      <c r="A3003" s="31"/>
      <c r="C3003" s="31"/>
      <c r="D3003" s="83"/>
      <c r="E3003" s="83"/>
      <c r="F3003" s="83"/>
      <c r="G3003" s="31"/>
      <c r="H3003" s="31"/>
    </row>
    <row r="3004" spans="1:8">
      <c r="A3004" s="31"/>
      <c r="C3004" s="31"/>
      <c r="D3004" s="83"/>
      <c r="E3004" s="83"/>
      <c r="F3004" s="83"/>
      <c r="G3004" s="31"/>
      <c r="H3004" s="31"/>
    </row>
    <row r="3005" spans="1:8">
      <c r="A3005" s="31"/>
      <c r="C3005" s="31"/>
      <c r="D3005" s="83"/>
      <c r="E3005" s="83"/>
      <c r="F3005" s="83"/>
      <c r="G3005" s="31"/>
      <c r="H3005" s="31"/>
    </row>
    <row r="3006" spans="1:8">
      <c r="A3006" s="31"/>
      <c r="C3006" s="31"/>
      <c r="D3006" s="83"/>
      <c r="E3006" s="83"/>
      <c r="F3006" s="83"/>
      <c r="G3006" s="31"/>
      <c r="H3006" s="31"/>
    </row>
    <row r="3007" spans="1:8">
      <c r="A3007" s="31"/>
      <c r="C3007" s="31"/>
      <c r="D3007" s="83"/>
      <c r="E3007" s="83"/>
      <c r="F3007" s="83"/>
      <c r="G3007" s="31"/>
      <c r="H3007" s="31"/>
    </row>
    <row r="3008" spans="1:8">
      <c r="A3008" s="31"/>
      <c r="C3008" s="31"/>
      <c r="D3008" s="83"/>
      <c r="E3008" s="83"/>
      <c r="F3008" s="83"/>
      <c r="G3008" s="31"/>
      <c r="H3008" s="31"/>
    </row>
    <row r="3009" spans="1:8">
      <c r="A3009" s="31"/>
      <c r="C3009" s="31"/>
      <c r="D3009" s="83"/>
      <c r="E3009" s="83"/>
      <c r="F3009" s="83"/>
      <c r="G3009" s="31"/>
      <c r="H3009" s="31"/>
    </row>
    <row r="3010" spans="1:8">
      <c r="A3010" s="31"/>
      <c r="C3010" s="31"/>
      <c r="D3010" s="83"/>
      <c r="E3010" s="83"/>
      <c r="F3010" s="83"/>
      <c r="G3010" s="31"/>
      <c r="H3010" s="31"/>
    </row>
    <row r="3011" spans="1:8">
      <c r="A3011" s="31"/>
      <c r="C3011" s="31"/>
      <c r="D3011" s="83"/>
      <c r="E3011" s="83"/>
      <c r="F3011" s="83"/>
      <c r="G3011" s="31"/>
      <c r="H3011" s="31"/>
    </row>
    <row r="3012" spans="1:8">
      <c r="A3012" s="31"/>
      <c r="C3012" s="31"/>
      <c r="D3012" s="83"/>
      <c r="E3012" s="83"/>
      <c r="F3012" s="83"/>
      <c r="G3012" s="31"/>
      <c r="H3012" s="31"/>
    </row>
    <row r="3013" spans="1:8">
      <c r="A3013" s="31"/>
      <c r="C3013" s="31"/>
      <c r="D3013" s="83"/>
      <c r="E3013" s="83"/>
      <c r="F3013" s="83"/>
      <c r="G3013" s="31"/>
      <c r="H3013" s="31"/>
    </row>
    <row r="3014" spans="1:8">
      <c r="A3014" s="31"/>
      <c r="C3014" s="31"/>
      <c r="D3014" s="83"/>
      <c r="E3014" s="83"/>
      <c r="F3014" s="83"/>
      <c r="G3014" s="31"/>
      <c r="H3014" s="31"/>
    </row>
    <row r="3015" spans="1:8">
      <c r="A3015" s="31"/>
      <c r="C3015" s="31"/>
      <c r="D3015" s="83"/>
      <c r="E3015" s="83"/>
      <c r="F3015" s="83"/>
      <c r="G3015" s="31"/>
      <c r="H3015" s="31"/>
    </row>
    <row r="3016" spans="1:8">
      <c r="A3016" s="31"/>
      <c r="C3016" s="31"/>
      <c r="D3016" s="83"/>
      <c r="E3016" s="83"/>
      <c r="F3016" s="83"/>
      <c r="G3016" s="31"/>
      <c r="H3016" s="31"/>
    </row>
    <row r="3017" spans="1:8">
      <c r="A3017" s="31"/>
      <c r="C3017" s="31"/>
      <c r="D3017" s="83"/>
      <c r="E3017" s="83"/>
      <c r="F3017" s="83"/>
      <c r="G3017" s="31"/>
      <c r="H3017" s="31"/>
    </row>
    <row r="3018" spans="1:8">
      <c r="A3018" s="31"/>
      <c r="C3018" s="31"/>
      <c r="D3018" s="83"/>
      <c r="E3018" s="83"/>
      <c r="F3018" s="83"/>
      <c r="G3018" s="31"/>
      <c r="H3018" s="31"/>
    </row>
    <row r="3019" spans="1:8">
      <c r="A3019" s="31"/>
      <c r="C3019" s="31"/>
      <c r="D3019" s="83"/>
      <c r="E3019" s="83"/>
      <c r="F3019" s="83"/>
      <c r="G3019" s="31"/>
      <c r="H3019" s="31"/>
    </row>
    <row r="3020" spans="1:8">
      <c r="A3020" s="31"/>
      <c r="C3020" s="31"/>
      <c r="D3020" s="83"/>
      <c r="E3020" s="83"/>
      <c r="F3020" s="83"/>
      <c r="G3020" s="31"/>
      <c r="H3020" s="31"/>
    </row>
    <row r="3021" spans="1:8">
      <c r="A3021" s="31"/>
      <c r="C3021" s="31"/>
      <c r="D3021" s="83"/>
      <c r="E3021" s="83"/>
      <c r="F3021" s="83"/>
      <c r="G3021" s="31"/>
      <c r="H3021" s="31"/>
    </row>
    <row r="3022" spans="1:8">
      <c r="A3022" s="31"/>
      <c r="C3022" s="31"/>
      <c r="D3022" s="83"/>
      <c r="E3022" s="83"/>
      <c r="F3022" s="83"/>
      <c r="G3022" s="31"/>
      <c r="H3022" s="31"/>
    </row>
    <row r="3023" spans="1:8">
      <c r="A3023" s="31"/>
      <c r="C3023" s="31"/>
      <c r="D3023" s="83"/>
      <c r="E3023" s="83"/>
      <c r="F3023" s="83"/>
      <c r="G3023" s="31"/>
      <c r="H3023" s="31"/>
    </row>
    <row r="3024" spans="1:8">
      <c r="A3024" s="31"/>
      <c r="C3024" s="31"/>
      <c r="D3024" s="83"/>
      <c r="E3024" s="83"/>
      <c r="F3024" s="83"/>
      <c r="G3024" s="31"/>
      <c r="H3024" s="31"/>
    </row>
    <row r="3025" spans="1:8">
      <c r="A3025" s="31"/>
      <c r="C3025" s="31"/>
      <c r="D3025" s="83"/>
      <c r="E3025" s="83"/>
      <c r="F3025" s="83"/>
      <c r="G3025" s="31"/>
      <c r="H3025" s="31"/>
    </row>
    <row r="3026" spans="1:8">
      <c r="A3026" s="31"/>
      <c r="C3026" s="31"/>
      <c r="D3026" s="83"/>
      <c r="E3026" s="83"/>
      <c r="F3026" s="83"/>
      <c r="G3026" s="31"/>
      <c r="H3026" s="31"/>
    </row>
    <row r="3027" spans="1:8">
      <c r="A3027" s="31"/>
      <c r="C3027" s="31"/>
      <c r="D3027" s="83"/>
      <c r="E3027" s="83"/>
      <c r="F3027" s="83"/>
      <c r="G3027" s="31"/>
      <c r="H3027" s="31"/>
    </row>
    <row r="3028" spans="1:8">
      <c r="A3028" s="31"/>
      <c r="C3028" s="31"/>
      <c r="D3028" s="83"/>
      <c r="E3028" s="83"/>
      <c r="F3028" s="83"/>
      <c r="G3028" s="31"/>
      <c r="H3028" s="31"/>
    </row>
    <row r="3029" spans="1:8">
      <c r="A3029" s="31"/>
      <c r="C3029" s="31"/>
      <c r="D3029" s="83"/>
      <c r="E3029" s="83"/>
      <c r="F3029" s="83"/>
      <c r="G3029" s="31"/>
      <c r="H3029" s="31"/>
    </row>
    <row r="3030" spans="1:8">
      <c r="A3030" s="31"/>
      <c r="C3030" s="31"/>
      <c r="D3030" s="83"/>
      <c r="E3030" s="83"/>
      <c r="F3030" s="83"/>
      <c r="G3030" s="31"/>
      <c r="H3030" s="31"/>
    </row>
    <row r="3031" spans="1:8">
      <c r="A3031" s="31"/>
      <c r="C3031" s="31"/>
      <c r="D3031" s="83"/>
      <c r="E3031" s="83"/>
      <c r="F3031" s="83"/>
      <c r="G3031" s="31"/>
      <c r="H3031" s="31"/>
    </row>
    <row r="3032" spans="1:8">
      <c r="A3032" s="31"/>
      <c r="C3032" s="31"/>
      <c r="D3032" s="83"/>
      <c r="E3032" s="83"/>
      <c r="F3032" s="83"/>
      <c r="G3032" s="31"/>
      <c r="H3032" s="31"/>
    </row>
    <row r="3033" spans="1:8">
      <c r="A3033" s="31"/>
      <c r="C3033" s="31"/>
      <c r="D3033" s="83"/>
      <c r="E3033" s="83"/>
      <c r="F3033" s="83"/>
      <c r="G3033" s="31"/>
      <c r="H3033" s="31"/>
    </row>
    <row r="3034" spans="1:8">
      <c r="A3034" s="31"/>
      <c r="C3034" s="31"/>
      <c r="D3034" s="83"/>
      <c r="E3034" s="83"/>
      <c r="F3034" s="83"/>
      <c r="G3034" s="31"/>
      <c r="H3034" s="31"/>
    </row>
    <row r="3035" spans="1:8">
      <c r="A3035" s="31"/>
      <c r="C3035" s="31"/>
      <c r="D3035" s="83"/>
      <c r="E3035" s="83"/>
      <c r="F3035" s="83"/>
      <c r="G3035" s="31"/>
      <c r="H3035" s="31"/>
    </row>
    <row r="3036" spans="1:8">
      <c r="A3036" s="31"/>
      <c r="C3036" s="31"/>
      <c r="D3036" s="83"/>
      <c r="E3036" s="83"/>
      <c r="F3036" s="83"/>
      <c r="G3036" s="31"/>
      <c r="H3036" s="31"/>
    </row>
    <row r="3037" spans="1:8">
      <c r="A3037" s="31"/>
      <c r="C3037" s="31"/>
      <c r="D3037" s="83"/>
      <c r="E3037" s="83"/>
      <c r="F3037" s="83"/>
      <c r="G3037" s="31"/>
      <c r="H3037" s="31"/>
    </row>
    <row r="3038" spans="1:8">
      <c r="A3038" s="31"/>
      <c r="C3038" s="31"/>
      <c r="D3038" s="83"/>
      <c r="E3038" s="83"/>
      <c r="F3038" s="83"/>
      <c r="G3038" s="31"/>
      <c r="H3038" s="31"/>
    </row>
    <row r="3039" spans="1:8">
      <c r="A3039" s="31"/>
      <c r="C3039" s="31"/>
      <c r="D3039" s="83"/>
      <c r="E3039" s="83"/>
      <c r="F3039" s="83"/>
      <c r="G3039" s="31"/>
      <c r="H3039" s="31"/>
    </row>
    <row r="3040" spans="1:8">
      <c r="A3040" s="31"/>
      <c r="C3040" s="31"/>
      <c r="D3040" s="83"/>
      <c r="E3040" s="83"/>
      <c r="F3040" s="83"/>
      <c r="G3040" s="31"/>
      <c r="H3040" s="31"/>
    </row>
    <row r="3041" spans="1:8">
      <c r="A3041" s="31"/>
      <c r="C3041" s="31"/>
      <c r="D3041" s="83"/>
      <c r="E3041" s="83"/>
      <c r="F3041" s="83"/>
      <c r="G3041" s="31"/>
      <c r="H3041" s="31"/>
    </row>
    <row r="3042" spans="1:8">
      <c r="A3042" s="31"/>
      <c r="C3042" s="31"/>
      <c r="D3042" s="83"/>
      <c r="E3042" s="83"/>
      <c r="F3042" s="83"/>
      <c r="G3042" s="31"/>
      <c r="H3042" s="31"/>
    </row>
    <row r="3043" spans="1:8">
      <c r="A3043" s="31"/>
      <c r="C3043" s="31"/>
      <c r="D3043" s="83"/>
      <c r="E3043" s="83"/>
      <c r="F3043" s="83"/>
      <c r="G3043" s="31"/>
      <c r="H3043" s="31"/>
    </row>
    <row r="3044" spans="1:8">
      <c r="A3044" s="31"/>
      <c r="C3044" s="31"/>
      <c r="D3044" s="83"/>
      <c r="E3044" s="83"/>
      <c r="F3044" s="83"/>
      <c r="G3044" s="31"/>
      <c r="H3044" s="31"/>
    </row>
    <row r="3045" spans="1:8">
      <c r="A3045" s="31"/>
      <c r="C3045" s="31"/>
      <c r="D3045" s="83"/>
      <c r="E3045" s="83"/>
      <c r="F3045" s="83"/>
      <c r="G3045" s="31"/>
      <c r="H3045" s="31"/>
    </row>
    <row r="3046" spans="1:8">
      <c r="A3046" s="31"/>
      <c r="C3046" s="31"/>
      <c r="D3046" s="83"/>
      <c r="E3046" s="83"/>
      <c r="F3046" s="83"/>
      <c r="G3046" s="31"/>
      <c r="H3046" s="31"/>
    </row>
    <row r="3047" spans="1:8">
      <c r="A3047" s="31"/>
      <c r="C3047" s="31"/>
      <c r="D3047" s="83"/>
      <c r="E3047" s="83"/>
      <c r="F3047" s="83"/>
      <c r="G3047" s="31"/>
      <c r="H3047" s="31"/>
    </row>
    <row r="3048" spans="1:8">
      <c r="A3048" s="31"/>
      <c r="C3048" s="31"/>
      <c r="D3048" s="83"/>
      <c r="E3048" s="83"/>
      <c r="F3048" s="83"/>
      <c r="G3048" s="31"/>
      <c r="H3048" s="31"/>
    </row>
    <row r="3049" spans="1:8">
      <c r="A3049" s="31"/>
      <c r="C3049" s="31"/>
      <c r="D3049" s="83"/>
      <c r="E3049" s="83"/>
      <c r="F3049" s="83"/>
      <c r="G3049" s="31"/>
      <c r="H3049" s="31"/>
    </row>
    <row r="3050" spans="1:8">
      <c r="A3050" s="31"/>
      <c r="C3050" s="31"/>
      <c r="D3050" s="83"/>
      <c r="E3050" s="83"/>
      <c r="F3050" s="83"/>
      <c r="G3050" s="31"/>
      <c r="H3050" s="31"/>
    </row>
    <row r="3051" spans="1:8">
      <c r="A3051" s="31"/>
      <c r="C3051" s="31"/>
      <c r="D3051" s="83"/>
      <c r="E3051" s="83"/>
      <c r="F3051" s="83"/>
      <c r="G3051" s="31"/>
      <c r="H3051" s="31"/>
    </row>
    <row r="3052" spans="1:8">
      <c r="A3052" s="31"/>
      <c r="C3052" s="31"/>
      <c r="D3052" s="83"/>
      <c r="E3052" s="83"/>
      <c r="F3052" s="83"/>
      <c r="G3052" s="31"/>
      <c r="H3052" s="31"/>
    </row>
    <row r="3053" spans="1:8">
      <c r="A3053" s="31"/>
      <c r="C3053" s="31"/>
      <c r="D3053" s="83"/>
      <c r="E3053" s="83"/>
      <c r="F3053" s="83"/>
      <c r="G3053" s="31"/>
      <c r="H3053" s="31"/>
    </row>
    <row r="3054" spans="1:8">
      <c r="A3054" s="31"/>
      <c r="C3054" s="31"/>
      <c r="D3054" s="83"/>
      <c r="E3054" s="83"/>
      <c r="F3054" s="83"/>
      <c r="G3054" s="31"/>
      <c r="H3054" s="31"/>
    </row>
    <row r="3055" spans="1:8">
      <c r="A3055" s="31"/>
      <c r="C3055" s="31"/>
      <c r="D3055" s="83"/>
      <c r="E3055" s="83"/>
      <c r="F3055" s="83"/>
      <c r="G3055" s="31"/>
      <c r="H3055" s="31"/>
    </row>
    <row r="3056" spans="1:8">
      <c r="A3056" s="31"/>
      <c r="C3056" s="31"/>
      <c r="D3056" s="83"/>
      <c r="E3056" s="83"/>
      <c r="F3056" s="83"/>
      <c r="G3056" s="31"/>
      <c r="H3056" s="31"/>
    </row>
    <row r="3057" spans="1:8">
      <c r="A3057" s="31"/>
      <c r="C3057" s="31"/>
      <c r="D3057" s="83"/>
      <c r="E3057" s="83"/>
      <c r="F3057" s="83"/>
      <c r="G3057" s="31"/>
      <c r="H3057" s="31"/>
    </row>
    <row r="3058" spans="1:8">
      <c r="A3058" s="31"/>
      <c r="C3058" s="31"/>
      <c r="D3058" s="83"/>
      <c r="E3058" s="83"/>
      <c r="F3058" s="83"/>
      <c r="G3058" s="31"/>
      <c r="H3058" s="31"/>
    </row>
    <row r="3059" spans="1:8">
      <c r="A3059" s="31"/>
      <c r="C3059" s="31"/>
      <c r="D3059" s="83"/>
      <c r="E3059" s="83"/>
      <c r="F3059" s="83"/>
      <c r="G3059" s="31"/>
      <c r="H3059" s="31"/>
    </row>
    <row r="3060" spans="1:8">
      <c r="A3060" s="31"/>
      <c r="C3060" s="31"/>
      <c r="D3060" s="83"/>
      <c r="E3060" s="83"/>
      <c r="F3060" s="83"/>
      <c r="G3060" s="31"/>
      <c r="H3060" s="31"/>
    </row>
    <row r="3061" spans="1:8">
      <c r="A3061" s="31"/>
      <c r="C3061" s="31"/>
      <c r="D3061" s="83"/>
      <c r="E3061" s="83"/>
      <c r="F3061" s="83"/>
      <c r="G3061" s="31"/>
      <c r="H3061" s="31"/>
    </row>
    <row r="3062" spans="1:8">
      <c r="A3062" s="31"/>
      <c r="C3062" s="31"/>
      <c r="D3062" s="83"/>
      <c r="E3062" s="83"/>
      <c r="F3062" s="83"/>
      <c r="G3062" s="31"/>
      <c r="H3062" s="31"/>
    </row>
    <row r="3063" spans="1:8">
      <c r="A3063" s="31"/>
      <c r="C3063" s="31"/>
      <c r="D3063" s="83"/>
      <c r="E3063" s="83"/>
      <c r="F3063" s="83"/>
      <c r="G3063" s="31"/>
      <c r="H3063" s="31"/>
    </row>
    <row r="3064" spans="1:8">
      <c r="A3064" s="31"/>
      <c r="C3064" s="31"/>
      <c r="D3064" s="83"/>
      <c r="E3064" s="83"/>
      <c r="F3064" s="83"/>
      <c r="G3064" s="31"/>
      <c r="H3064" s="31"/>
    </row>
    <row r="3065" spans="1:8">
      <c r="A3065" s="31"/>
      <c r="C3065" s="31"/>
      <c r="D3065" s="83"/>
      <c r="E3065" s="83"/>
      <c r="F3065" s="83"/>
      <c r="G3065" s="31"/>
      <c r="H3065" s="31"/>
    </row>
    <row r="3066" spans="1:8">
      <c r="A3066" s="31"/>
      <c r="C3066" s="31"/>
      <c r="D3066" s="83"/>
      <c r="E3066" s="83"/>
      <c r="F3066" s="83"/>
      <c r="G3066" s="31"/>
      <c r="H3066" s="31"/>
    </row>
    <row r="3067" spans="1:8">
      <c r="A3067" s="31"/>
      <c r="C3067" s="31"/>
      <c r="D3067" s="83"/>
      <c r="E3067" s="83"/>
      <c r="F3067" s="83"/>
      <c r="G3067" s="31"/>
      <c r="H3067" s="31"/>
    </row>
    <row r="3068" spans="1:8">
      <c r="A3068" s="31"/>
      <c r="C3068" s="31"/>
      <c r="D3068" s="83"/>
      <c r="E3068" s="83"/>
      <c r="F3068" s="83"/>
      <c r="G3068" s="31"/>
      <c r="H3068" s="31"/>
    </row>
    <row r="3069" spans="1:8">
      <c r="A3069" s="31"/>
      <c r="C3069" s="31"/>
      <c r="D3069" s="83"/>
      <c r="E3069" s="83"/>
      <c r="F3069" s="83"/>
      <c r="G3069" s="31"/>
      <c r="H3069" s="31"/>
    </row>
    <row r="3070" spans="1:8">
      <c r="A3070" s="31"/>
      <c r="C3070" s="31"/>
      <c r="D3070" s="83"/>
      <c r="E3070" s="83"/>
      <c r="F3070" s="83"/>
      <c r="G3070" s="31"/>
      <c r="H3070" s="31"/>
    </row>
    <row r="3071" spans="1:8">
      <c r="A3071" s="31"/>
      <c r="C3071" s="31"/>
      <c r="D3071" s="83"/>
      <c r="E3071" s="83"/>
      <c r="F3071" s="83"/>
      <c r="G3071" s="31"/>
      <c r="H3071" s="31"/>
    </row>
    <row r="3072" spans="1:8">
      <c r="A3072" s="31"/>
      <c r="C3072" s="31"/>
      <c r="D3072" s="83"/>
      <c r="E3072" s="83"/>
      <c r="F3072" s="83"/>
      <c r="G3072" s="31"/>
      <c r="H3072" s="31"/>
    </row>
    <row r="3073" spans="1:8">
      <c r="A3073" s="31"/>
      <c r="C3073" s="31"/>
      <c r="D3073" s="83"/>
      <c r="E3073" s="83"/>
      <c r="F3073" s="83"/>
      <c r="G3073" s="31"/>
      <c r="H3073" s="31"/>
    </row>
    <row r="3074" spans="1:8">
      <c r="A3074" s="31"/>
      <c r="C3074" s="31"/>
      <c r="D3074" s="83"/>
      <c r="E3074" s="83"/>
      <c r="F3074" s="83"/>
      <c r="G3074" s="31"/>
      <c r="H3074" s="31"/>
    </row>
    <row r="3075" spans="1:8">
      <c r="A3075" s="31"/>
      <c r="C3075" s="31"/>
      <c r="D3075" s="83"/>
      <c r="E3075" s="83"/>
      <c r="F3075" s="83"/>
      <c r="G3075" s="31"/>
      <c r="H3075" s="31"/>
    </row>
    <row r="3076" spans="1:8">
      <c r="A3076" s="31"/>
      <c r="C3076" s="31"/>
      <c r="D3076" s="83"/>
      <c r="E3076" s="83"/>
      <c r="F3076" s="83"/>
      <c r="G3076" s="31"/>
      <c r="H3076" s="31"/>
    </row>
    <row r="3077" spans="1:8">
      <c r="A3077" s="31"/>
      <c r="C3077" s="31"/>
      <c r="D3077" s="83"/>
      <c r="E3077" s="83"/>
      <c r="F3077" s="83"/>
      <c r="G3077" s="31"/>
      <c r="H3077" s="31"/>
    </row>
    <row r="3078" spans="1:8">
      <c r="A3078" s="31"/>
      <c r="C3078" s="31"/>
      <c r="D3078" s="83"/>
      <c r="E3078" s="83"/>
      <c r="F3078" s="83"/>
      <c r="G3078" s="31"/>
      <c r="H3078" s="31"/>
    </row>
    <row r="3079" spans="1:8">
      <c r="A3079" s="31"/>
      <c r="C3079" s="31"/>
      <c r="D3079" s="83"/>
      <c r="E3079" s="83"/>
      <c r="F3079" s="83"/>
      <c r="G3079" s="31"/>
      <c r="H3079" s="31"/>
    </row>
    <row r="3080" spans="1:8">
      <c r="A3080" s="31"/>
      <c r="C3080" s="31"/>
      <c r="D3080" s="83"/>
      <c r="E3080" s="83"/>
      <c r="F3080" s="83"/>
      <c r="G3080" s="31"/>
      <c r="H3080" s="31"/>
    </row>
    <row r="3081" spans="1:8">
      <c r="A3081" s="31"/>
      <c r="C3081" s="31"/>
      <c r="D3081" s="83"/>
      <c r="E3081" s="83"/>
      <c r="F3081" s="83"/>
      <c r="G3081" s="31"/>
      <c r="H3081" s="31"/>
    </row>
    <row r="3082" spans="1:8">
      <c r="A3082" s="31"/>
      <c r="C3082" s="31"/>
      <c r="D3082" s="83"/>
      <c r="E3082" s="83"/>
      <c r="F3082" s="83"/>
      <c r="G3082" s="31"/>
      <c r="H3082" s="31"/>
    </row>
    <row r="3083" spans="1:8">
      <c r="A3083" s="31"/>
      <c r="C3083" s="31"/>
      <c r="D3083" s="83"/>
      <c r="E3083" s="83"/>
      <c r="F3083" s="83"/>
      <c r="G3083" s="31"/>
      <c r="H3083" s="31"/>
    </row>
    <row r="3084" spans="1:8">
      <c r="A3084" s="31"/>
      <c r="C3084" s="31"/>
      <c r="D3084" s="83"/>
      <c r="E3084" s="83"/>
      <c r="F3084" s="83"/>
      <c r="G3084" s="31"/>
      <c r="H3084" s="31"/>
    </row>
    <row r="3085" spans="1:8">
      <c r="A3085" s="31"/>
      <c r="C3085" s="31"/>
      <c r="D3085" s="83"/>
      <c r="E3085" s="83"/>
      <c r="F3085" s="83"/>
      <c r="G3085" s="31"/>
      <c r="H3085" s="31"/>
    </row>
    <row r="3086" spans="1:8">
      <c r="A3086" s="31"/>
      <c r="C3086" s="31"/>
      <c r="D3086" s="83"/>
      <c r="E3086" s="83"/>
      <c r="F3086" s="83"/>
      <c r="G3086" s="31"/>
      <c r="H3086" s="31"/>
    </row>
    <row r="3087" spans="1:8">
      <c r="A3087" s="31"/>
      <c r="C3087" s="31"/>
      <c r="D3087" s="83"/>
      <c r="E3087" s="83"/>
      <c r="F3087" s="83"/>
      <c r="G3087" s="31"/>
      <c r="H3087" s="31"/>
    </row>
    <row r="3088" spans="1:8">
      <c r="A3088" s="31"/>
      <c r="C3088" s="31"/>
      <c r="D3088" s="83"/>
      <c r="E3088" s="83"/>
      <c r="F3088" s="83"/>
      <c r="G3088" s="31"/>
      <c r="H3088" s="31"/>
    </row>
    <row r="3089" spans="1:8">
      <c r="A3089" s="31"/>
      <c r="C3089" s="31"/>
      <c r="D3089" s="83"/>
      <c r="E3089" s="83"/>
      <c r="F3089" s="83"/>
      <c r="G3089" s="31"/>
      <c r="H3089" s="31"/>
    </row>
    <row r="3090" spans="1:8">
      <c r="A3090" s="31"/>
      <c r="C3090" s="31"/>
      <c r="D3090" s="83"/>
      <c r="E3090" s="83"/>
      <c r="F3090" s="83"/>
      <c r="G3090" s="31"/>
      <c r="H3090" s="31"/>
    </row>
    <row r="3091" spans="1:8">
      <c r="A3091" s="31"/>
      <c r="C3091" s="31"/>
      <c r="D3091" s="83"/>
      <c r="E3091" s="83"/>
      <c r="F3091" s="83"/>
      <c r="G3091" s="31"/>
      <c r="H3091" s="31"/>
    </row>
    <row r="3092" spans="1:8">
      <c r="A3092" s="31"/>
      <c r="C3092" s="31"/>
      <c r="D3092" s="83"/>
      <c r="E3092" s="83"/>
      <c r="F3092" s="83"/>
      <c r="G3092" s="31"/>
      <c r="H3092" s="31"/>
    </row>
    <row r="3093" spans="1:8">
      <c r="A3093" s="31"/>
      <c r="C3093" s="31"/>
      <c r="D3093" s="83"/>
      <c r="E3093" s="83"/>
      <c r="F3093" s="83"/>
      <c r="G3093" s="31"/>
      <c r="H3093" s="31"/>
    </row>
    <row r="3094" spans="1:8">
      <c r="A3094" s="31"/>
      <c r="C3094" s="31"/>
      <c r="D3094" s="83"/>
      <c r="E3094" s="83"/>
      <c r="F3094" s="83"/>
      <c r="G3094" s="31"/>
      <c r="H3094" s="31"/>
    </row>
    <row r="3095" spans="1:8">
      <c r="A3095" s="31"/>
      <c r="C3095" s="31"/>
      <c r="D3095" s="83"/>
      <c r="E3095" s="83"/>
      <c r="F3095" s="83"/>
      <c r="G3095" s="31"/>
      <c r="H3095" s="31"/>
    </row>
    <row r="3096" spans="1:8">
      <c r="A3096" s="31"/>
      <c r="C3096" s="31"/>
      <c r="D3096" s="83"/>
      <c r="E3096" s="83"/>
      <c r="F3096" s="83"/>
      <c r="G3096" s="31"/>
      <c r="H3096" s="31"/>
    </row>
    <row r="3097" spans="1:8">
      <c r="A3097" s="31"/>
      <c r="C3097" s="31"/>
      <c r="D3097" s="83"/>
      <c r="E3097" s="83"/>
      <c r="F3097" s="83"/>
      <c r="G3097" s="31"/>
      <c r="H3097" s="31"/>
    </row>
    <row r="3098" spans="1:8">
      <c r="A3098" s="31"/>
      <c r="C3098" s="31"/>
      <c r="D3098" s="83"/>
      <c r="E3098" s="83"/>
      <c r="F3098" s="83"/>
      <c r="G3098" s="31"/>
      <c r="H3098" s="31"/>
    </row>
    <row r="3099" spans="1:8">
      <c r="A3099" s="31"/>
      <c r="C3099" s="31"/>
      <c r="D3099" s="83"/>
      <c r="E3099" s="83"/>
      <c r="F3099" s="83"/>
      <c r="G3099" s="31"/>
      <c r="H3099" s="31"/>
    </row>
    <row r="3100" spans="1:8">
      <c r="A3100" s="31"/>
      <c r="C3100" s="31"/>
      <c r="D3100" s="83"/>
      <c r="E3100" s="83"/>
      <c r="F3100" s="83"/>
      <c r="G3100" s="31"/>
      <c r="H3100" s="31"/>
    </row>
    <row r="3101" spans="1:8">
      <c r="A3101" s="31"/>
      <c r="C3101" s="31"/>
      <c r="D3101" s="83"/>
      <c r="E3101" s="83"/>
      <c r="F3101" s="83"/>
      <c r="G3101" s="31"/>
      <c r="H3101" s="31"/>
    </row>
    <row r="3102" spans="1:8">
      <c r="A3102" s="31"/>
      <c r="C3102" s="31"/>
      <c r="D3102" s="83"/>
      <c r="E3102" s="83"/>
      <c r="F3102" s="83"/>
      <c r="G3102" s="31"/>
      <c r="H3102" s="31"/>
    </row>
    <row r="3103" spans="1:8">
      <c r="A3103" s="31"/>
      <c r="C3103" s="31"/>
      <c r="D3103" s="83"/>
      <c r="E3103" s="83"/>
      <c r="F3103" s="83"/>
      <c r="G3103" s="31"/>
      <c r="H3103" s="31"/>
    </row>
    <row r="3104" spans="1:8">
      <c r="A3104" s="31"/>
      <c r="C3104" s="31"/>
      <c r="D3104" s="83"/>
      <c r="E3104" s="83"/>
      <c r="F3104" s="83"/>
      <c r="G3104" s="31"/>
      <c r="H3104" s="31"/>
    </row>
    <row r="3105" spans="1:8">
      <c r="A3105" s="31"/>
      <c r="C3105" s="31"/>
      <c r="D3105" s="83"/>
      <c r="E3105" s="83"/>
      <c r="F3105" s="83"/>
      <c r="G3105" s="31"/>
      <c r="H3105" s="31"/>
    </row>
    <row r="3106" spans="1:8">
      <c r="A3106" s="31"/>
      <c r="C3106" s="31"/>
      <c r="D3106" s="83"/>
      <c r="E3106" s="83"/>
      <c r="F3106" s="83"/>
      <c r="G3106" s="31"/>
      <c r="H3106" s="31"/>
    </row>
    <row r="3107" spans="1:8">
      <c r="A3107" s="31"/>
      <c r="C3107" s="31"/>
      <c r="D3107" s="83"/>
      <c r="E3107" s="83"/>
      <c r="F3107" s="83"/>
      <c r="G3107" s="31"/>
      <c r="H3107" s="31"/>
    </row>
    <row r="3108" spans="1:8">
      <c r="A3108" s="31"/>
      <c r="C3108" s="31"/>
      <c r="D3108" s="83"/>
      <c r="E3108" s="83"/>
      <c r="F3108" s="83"/>
      <c r="G3108" s="31"/>
      <c r="H3108" s="31"/>
    </row>
    <row r="3109" spans="1:8">
      <c r="A3109" s="31"/>
      <c r="C3109" s="31"/>
      <c r="D3109" s="83"/>
      <c r="E3109" s="83"/>
      <c r="F3109" s="83"/>
      <c r="G3109" s="31"/>
      <c r="H3109" s="31"/>
    </row>
    <row r="3110" spans="1:8">
      <c r="A3110" s="31"/>
      <c r="C3110" s="31"/>
      <c r="D3110" s="83"/>
      <c r="E3110" s="83"/>
      <c r="F3110" s="83"/>
      <c r="G3110" s="31"/>
      <c r="H3110" s="31"/>
    </row>
    <row r="3111" spans="1:8">
      <c r="A3111" s="31"/>
      <c r="C3111" s="31"/>
      <c r="D3111" s="83"/>
      <c r="E3111" s="83"/>
      <c r="F3111" s="83"/>
      <c r="G3111" s="31"/>
      <c r="H3111" s="31"/>
    </row>
    <row r="3112" spans="1:8">
      <c r="A3112" s="31"/>
      <c r="C3112" s="31"/>
      <c r="D3112" s="83"/>
      <c r="E3112" s="83"/>
      <c r="F3112" s="83"/>
      <c r="G3112" s="31"/>
      <c r="H3112" s="31"/>
    </row>
    <row r="3113" spans="1:8">
      <c r="A3113" s="31"/>
      <c r="C3113" s="31"/>
      <c r="D3113" s="83"/>
      <c r="E3113" s="83"/>
      <c r="F3113" s="83"/>
      <c r="G3113" s="31"/>
      <c r="H3113" s="31"/>
    </row>
    <row r="3114" spans="1:8">
      <c r="A3114" s="31"/>
      <c r="C3114" s="31"/>
      <c r="D3114" s="83"/>
      <c r="E3114" s="83"/>
      <c r="F3114" s="83"/>
      <c r="G3114" s="31"/>
      <c r="H3114" s="31"/>
    </row>
    <row r="3115" spans="1:8">
      <c r="A3115" s="31"/>
      <c r="C3115" s="31"/>
      <c r="D3115" s="83"/>
      <c r="E3115" s="83"/>
      <c r="F3115" s="83"/>
      <c r="G3115" s="31"/>
      <c r="H3115" s="31"/>
    </row>
    <row r="3116" spans="1:8">
      <c r="A3116" s="31"/>
      <c r="C3116" s="31"/>
      <c r="D3116" s="83"/>
      <c r="E3116" s="83"/>
      <c r="F3116" s="83"/>
      <c r="G3116" s="31"/>
      <c r="H3116" s="31"/>
    </row>
    <row r="3117" spans="1:8">
      <c r="A3117" s="31"/>
      <c r="C3117" s="31"/>
      <c r="D3117" s="83"/>
      <c r="E3117" s="83"/>
      <c r="F3117" s="83"/>
      <c r="G3117" s="31"/>
      <c r="H3117" s="31"/>
    </row>
    <row r="3118" spans="1:8">
      <c r="A3118" s="31"/>
      <c r="C3118" s="31"/>
      <c r="D3118" s="83"/>
      <c r="E3118" s="83"/>
      <c r="F3118" s="83"/>
      <c r="G3118" s="31"/>
      <c r="H3118" s="31"/>
    </row>
    <row r="3119" spans="1:8">
      <c r="A3119" s="31"/>
      <c r="C3119" s="31"/>
      <c r="D3119" s="83"/>
      <c r="E3119" s="83"/>
      <c r="F3119" s="83"/>
      <c r="G3119" s="31"/>
      <c r="H3119" s="31"/>
    </row>
    <row r="3120" spans="1:8">
      <c r="A3120" s="31"/>
      <c r="C3120" s="31"/>
      <c r="D3120" s="83"/>
      <c r="E3120" s="83"/>
      <c r="F3120" s="83"/>
      <c r="G3120" s="31"/>
      <c r="H3120" s="31"/>
    </row>
    <row r="3121" spans="1:8">
      <c r="A3121" s="31"/>
      <c r="C3121" s="31"/>
      <c r="D3121" s="83"/>
      <c r="E3121" s="83"/>
      <c r="F3121" s="83"/>
      <c r="G3121" s="31"/>
      <c r="H3121" s="31"/>
    </row>
    <row r="3122" spans="1:8">
      <c r="A3122" s="31"/>
      <c r="C3122" s="31"/>
      <c r="D3122" s="83"/>
      <c r="E3122" s="83"/>
      <c r="F3122" s="83"/>
      <c r="G3122" s="31"/>
      <c r="H3122" s="31"/>
    </row>
    <row r="3123" spans="1:8">
      <c r="A3123" s="31"/>
      <c r="C3123" s="31"/>
      <c r="D3123" s="83"/>
      <c r="E3123" s="83"/>
      <c r="F3123" s="83"/>
      <c r="G3123" s="31"/>
      <c r="H3123" s="31"/>
    </row>
    <row r="3124" spans="1:8">
      <c r="A3124" s="31"/>
      <c r="C3124" s="31"/>
      <c r="D3124" s="83"/>
      <c r="E3124" s="83"/>
      <c r="F3124" s="83"/>
      <c r="G3124" s="31"/>
      <c r="H3124" s="31"/>
    </row>
    <row r="3125" spans="1:8">
      <c r="A3125" s="31"/>
      <c r="C3125" s="31"/>
      <c r="D3125" s="83"/>
      <c r="E3125" s="83"/>
      <c r="F3125" s="83"/>
      <c r="G3125" s="31"/>
      <c r="H3125" s="31"/>
    </row>
    <row r="3126" spans="1:8">
      <c r="A3126" s="31"/>
      <c r="C3126" s="31"/>
      <c r="D3126" s="83"/>
      <c r="E3126" s="83"/>
      <c r="F3126" s="83"/>
      <c r="G3126" s="31"/>
      <c r="H3126" s="31"/>
    </row>
    <row r="3127" spans="1:8">
      <c r="A3127" s="31"/>
      <c r="C3127" s="31"/>
      <c r="D3127" s="83"/>
      <c r="E3127" s="83"/>
      <c r="F3127" s="83"/>
      <c r="G3127" s="31"/>
      <c r="H3127" s="31"/>
    </row>
    <row r="3128" spans="1:8">
      <c r="A3128" s="31"/>
      <c r="C3128" s="31"/>
      <c r="D3128" s="83"/>
      <c r="E3128" s="83"/>
      <c r="F3128" s="83"/>
      <c r="G3128" s="31"/>
      <c r="H3128" s="31"/>
    </row>
    <row r="3129" spans="1:8">
      <c r="A3129" s="31"/>
      <c r="C3129" s="31"/>
      <c r="D3129" s="83"/>
      <c r="E3129" s="83"/>
      <c r="F3129" s="83"/>
      <c r="G3129" s="31"/>
      <c r="H3129" s="31"/>
    </row>
    <row r="3130" spans="1:8">
      <c r="A3130" s="31"/>
      <c r="C3130" s="31"/>
      <c r="D3130" s="83"/>
      <c r="E3130" s="83"/>
      <c r="F3130" s="83"/>
      <c r="G3130" s="31"/>
      <c r="H3130" s="31"/>
    </row>
    <row r="3131" spans="1:8">
      <c r="A3131" s="31"/>
      <c r="C3131" s="31"/>
      <c r="D3131" s="83"/>
      <c r="E3131" s="83"/>
      <c r="F3131" s="83"/>
      <c r="G3131" s="31"/>
      <c r="H3131" s="31"/>
    </row>
    <row r="3132" spans="1:8">
      <c r="A3132" s="31"/>
      <c r="C3132" s="31"/>
      <c r="D3132" s="83"/>
      <c r="E3132" s="83"/>
      <c r="F3132" s="83"/>
      <c r="G3132" s="31"/>
      <c r="H3132" s="31"/>
    </row>
    <row r="3133" spans="1:8">
      <c r="A3133" s="31"/>
      <c r="C3133" s="31"/>
      <c r="D3133" s="83"/>
      <c r="E3133" s="83"/>
      <c r="F3133" s="83"/>
      <c r="G3133" s="31"/>
      <c r="H3133" s="31"/>
    </row>
    <row r="3134" spans="1:8">
      <c r="A3134" s="31"/>
      <c r="C3134" s="31"/>
      <c r="D3134" s="83"/>
      <c r="E3134" s="83"/>
      <c r="F3134" s="83"/>
      <c r="G3134" s="31"/>
      <c r="H3134" s="31"/>
    </row>
    <row r="3135" spans="1:8">
      <c r="A3135" s="31"/>
      <c r="C3135" s="31"/>
      <c r="D3135" s="83"/>
      <c r="E3135" s="83"/>
      <c r="F3135" s="83"/>
      <c r="G3135" s="31"/>
      <c r="H3135" s="31"/>
    </row>
    <row r="3136" spans="1:8">
      <c r="A3136" s="31"/>
      <c r="C3136" s="31"/>
      <c r="D3136" s="83"/>
      <c r="E3136" s="83"/>
      <c r="F3136" s="83"/>
      <c r="G3136" s="31"/>
      <c r="H3136" s="31"/>
    </row>
    <row r="3137" spans="1:8">
      <c r="A3137" s="31"/>
      <c r="C3137" s="31"/>
      <c r="D3137" s="83"/>
      <c r="E3137" s="83"/>
      <c r="F3137" s="83"/>
      <c r="G3137" s="31"/>
      <c r="H3137" s="31"/>
    </row>
    <row r="3138" spans="1:8">
      <c r="A3138" s="31"/>
      <c r="C3138" s="31"/>
      <c r="D3138" s="83"/>
      <c r="E3138" s="83"/>
      <c r="F3138" s="83"/>
      <c r="G3138" s="31"/>
      <c r="H3138" s="31"/>
    </row>
    <row r="3139" spans="1:8">
      <c r="A3139" s="31"/>
      <c r="C3139" s="31"/>
      <c r="D3139" s="83"/>
      <c r="E3139" s="83"/>
      <c r="F3139" s="83"/>
      <c r="G3139" s="31"/>
      <c r="H3139" s="31"/>
    </row>
    <row r="3140" spans="1:8">
      <c r="A3140" s="31"/>
      <c r="C3140" s="31"/>
      <c r="D3140" s="83"/>
      <c r="E3140" s="83"/>
      <c r="F3140" s="83"/>
      <c r="G3140" s="31"/>
      <c r="H3140" s="31"/>
    </row>
    <row r="3141" spans="1:8">
      <c r="A3141" s="31"/>
      <c r="C3141" s="31"/>
      <c r="D3141" s="83"/>
      <c r="E3141" s="83"/>
      <c r="F3141" s="83"/>
      <c r="G3141" s="31"/>
      <c r="H3141" s="31"/>
    </row>
    <row r="3142" spans="1:8">
      <c r="A3142" s="31"/>
      <c r="C3142" s="31"/>
      <c r="D3142" s="83"/>
      <c r="E3142" s="83"/>
      <c r="F3142" s="83"/>
      <c r="G3142" s="31"/>
      <c r="H3142" s="31"/>
    </row>
    <row r="3143" spans="1:8">
      <c r="A3143" s="31"/>
      <c r="C3143" s="31"/>
      <c r="D3143" s="83"/>
      <c r="E3143" s="83"/>
      <c r="F3143" s="83"/>
      <c r="G3143" s="31"/>
      <c r="H3143" s="31"/>
    </row>
    <row r="3144" spans="1:8">
      <c r="A3144" s="31"/>
      <c r="C3144" s="31"/>
      <c r="D3144" s="83"/>
      <c r="E3144" s="83"/>
      <c r="F3144" s="83"/>
      <c r="G3144" s="31"/>
      <c r="H3144" s="31"/>
    </row>
    <row r="3145" spans="1:8">
      <c r="A3145" s="31"/>
      <c r="C3145" s="31"/>
      <c r="D3145" s="83"/>
      <c r="E3145" s="83"/>
      <c r="F3145" s="83"/>
      <c r="G3145" s="31"/>
      <c r="H3145" s="31"/>
    </row>
    <row r="3146" spans="1:8">
      <c r="A3146" s="31"/>
      <c r="C3146" s="31"/>
      <c r="D3146" s="83"/>
      <c r="E3146" s="83"/>
      <c r="F3146" s="83"/>
      <c r="G3146" s="31"/>
      <c r="H3146" s="31"/>
    </row>
    <row r="3147" spans="1:8">
      <c r="A3147" s="31"/>
      <c r="C3147" s="31"/>
      <c r="D3147" s="83"/>
      <c r="E3147" s="83"/>
      <c r="F3147" s="83"/>
      <c r="G3147" s="31"/>
      <c r="H3147" s="31"/>
    </row>
    <row r="3148" spans="1:8">
      <c r="A3148" s="31"/>
      <c r="C3148" s="31"/>
      <c r="D3148" s="83"/>
      <c r="E3148" s="83"/>
      <c r="F3148" s="83"/>
      <c r="G3148" s="31"/>
      <c r="H3148" s="31"/>
    </row>
    <row r="3149" spans="1:8">
      <c r="A3149" s="31"/>
      <c r="C3149" s="31"/>
      <c r="D3149" s="83"/>
      <c r="E3149" s="83"/>
      <c r="F3149" s="83"/>
      <c r="G3149" s="31"/>
      <c r="H3149" s="31"/>
    </row>
    <row r="3150" spans="1:8">
      <c r="A3150" s="31"/>
      <c r="C3150" s="31"/>
      <c r="D3150" s="83"/>
      <c r="E3150" s="83"/>
      <c r="F3150" s="83"/>
      <c r="G3150" s="31"/>
      <c r="H3150" s="31"/>
    </row>
    <row r="3151" spans="1:8">
      <c r="A3151" s="31"/>
      <c r="C3151" s="31"/>
      <c r="D3151" s="83"/>
      <c r="E3151" s="83"/>
      <c r="F3151" s="83"/>
      <c r="G3151" s="31"/>
      <c r="H3151" s="31"/>
    </row>
    <row r="3152" spans="1:8">
      <c r="A3152" s="31"/>
      <c r="C3152" s="31"/>
      <c r="D3152" s="83"/>
      <c r="E3152" s="83"/>
      <c r="F3152" s="83"/>
      <c r="G3152" s="31"/>
      <c r="H3152" s="31"/>
    </row>
    <row r="3153" spans="1:8">
      <c r="A3153" s="31"/>
      <c r="C3153" s="31"/>
      <c r="D3153" s="83"/>
      <c r="E3153" s="83"/>
      <c r="F3153" s="83"/>
      <c r="G3153" s="31"/>
      <c r="H3153" s="31"/>
    </row>
    <row r="3154" spans="1:8">
      <c r="A3154" s="31"/>
      <c r="C3154" s="31"/>
      <c r="D3154" s="83"/>
      <c r="E3154" s="83"/>
      <c r="F3154" s="83"/>
      <c r="G3154" s="31"/>
      <c r="H3154" s="31"/>
    </row>
    <row r="3155" spans="1:8">
      <c r="A3155" s="31"/>
      <c r="C3155" s="31"/>
      <c r="D3155" s="83"/>
      <c r="E3155" s="83"/>
      <c r="F3155" s="83"/>
      <c r="G3155" s="31"/>
      <c r="H3155" s="31"/>
    </row>
    <row r="3156" spans="1:8">
      <c r="A3156" s="31"/>
      <c r="C3156" s="31"/>
      <c r="D3156" s="83"/>
      <c r="E3156" s="83"/>
      <c r="F3156" s="83"/>
      <c r="G3156" s="31"/>
      <c r="H3156" s="31"/>
    </row>
    <row r="3157" spans="1:8">
      <c r="A3157" s="31"/>
      <c r="C3157" s="31"/>
      <c r="D3157" s="83"/>
      <c r="E3157" s="83"/>
      <c r="F3157" s="83"/>
      <c r="G3157" s="31"/>
      <c r="H3157" s="31"/>
    </row>
    <row r="3158" spans="1:8">
      <c r="A3158" s="31"/>
      <c r="C3158" s="31"/>
      <c r="D3158" s="83"/>
      <c r="E3158" s="83"/>
      <c r="F3158" s="83"/>
      <c r="G3158" s="31"/>
      <c r="H3158" s="31"/>
    </row>
    <row r="3159" spans="1:8">
      <c r="A3159" s="31"/>
      <c r="C3159" s="31"/>
      <c r="D3159" s="83"/>
      <c r="E3159" s="83"/>
      <c r="F3159" s="83"/>
      <c r="G3159" s="31"/>
      <c r="H3159" s="31"/>
    </row>
    <row r="3160" spans="1:8">
      <c r="A3160" s="31"/>
      <c r="C3160" s="31"/>
      <c r="D3160" s="83"/>
      <c r="E3160" s="83"/>
      <c r="F3160" s="83"/>
      <c r="G3160" s="31"/>
      <c r="H3160" s="31"/>
    </row>
    <row r="3161" spans="1:8">
      <c r="A3161" s="31"/>
      <c r="C3161" s="31"/>
      <c r="D3161" s="83"/>
      <c r="E3161" s="83"/>
      <c r="F3161" s="83"/>
      <c r="G3161" s="31"/>
      <c r="H3161" s="31"/>
    </row>
    <row r="3162" spans="1:8">
      <c r="A3162" s="31"/>
      <c r="C3162" s="31"/>
      <c r="D3162" s="83"/>
      <c r="E3162" s="83"/>
      <c r="F3162" s="83"/>
      <c r="G3162" s="31"/>
      <c r="H3162" s="31"/>
    </row>
    <row r="3163" spans="1:8">
      <c r="A3163" s="31"/>
      <c r="C3163" s="31"/>
      <c r="D3163" s="83"/>
      <c r="E3163" s="83"/>
      <c r="F3163" s="83"/>
      <c r="G3163" s="31"/>
      <c r="H3163" s="31"/>
    </row>
    <row r="3164" spans="1:8">
      <c r="A3164" s="31"/>
      <c r="C3164" s="31"/>
      <c r="D3164" s="83"/>
      <c r="E3164" s="83"/>
      <c r="F3164" s="83"/>
      <c r="G3164" s="31"/>
      <c r="H3164" s="31"/>
    </row>
    <row r="3165" spans="1:8">
      <c r="A3165" s="31"/>
      <c r="C3165" s="31"/>
      <c r="D3165" s="83"/>
      <c r="E3165" s="83"/>
      <c r="F3165" s="83"/>
      <c r="G3165" s="31"/>
      <c r="H3165" s="31"/>
    </row>
    <row r="3166" spans="1:8">
      <c r="A3166" s="31"/>
      <c r="C3166" s="31"/>
      <c r="D3166" s="83"/>
      <c r="E3166" s="83"/>
      <c r="F3166" s="83"/>
      <c r="G3166" s="31"/>
      <c r="H3166" s="31"/>
    </row>
    <row r="3167" spans="1:8">
      <c r="A3167" s="31"/>
      <c r="C3167" s="31"/>
      <c r="D3167" s="83"/>
      <c r="E3167" s="83"/>
      <c r="F3167" s="83"/>
      <c r="G3167" s="31"/>
      <c r="H3167" s="31"/>
    </row>
    <row r="3168" spans="1:8">
      <c r="A3168" s="31"/>
      <c r="C3168" s="31"/>
      <c r="D3168" s="83"/>
      <c r="E3168" s="83"/>
      <c r="F3168" s="83"/>
      <c r="G3168" s="31"/>
      <c r="H3168" s="31"/>
    </row>
    <row r="3169" spans="1:8">
      <c r="A3169" s="31"/>
      <c r="C3169" s="31"/>
      <c r="D3169" s="83"/>
      <c r="E3169" s="83"/>
      <c r="F3169" s="83"/>
      <c r="G3169" s="31"/>
      <c r="H3169" s="31"/>
    </row>
    <row r="3170" spans="1:8">
      <c r="A3170" s="31"/>
      <c r="C3170" s="31"/>
      <c r="D3170" s="83"/>
      <c r="E3170" s="83"/>
      <c r="F3170" s="83"/>
      <c r="G3170" s="31"/>
      <c r="H3170" s="31"/>
    </row>
    <row r="3171" spans="1:8">
      <c r="A3171" s="31"/>
      <c r="C3171" s="31"/>
      <c r="D3171" s="83"/>
      <c r="E3171" s="83"/>
      <c r="F3171" s="83"/>
      <c r="G3171" s="31"/>
      <c r="H3171" s="31"/>
    </row>
    <row r="3172" spans="1:8">
      <c r="A3172" s="31"/>
      <c r="C3172" s="31"/>
      <c r="D3172" s="83"/>
      <c r="E3172" s="83"/>
      <c r="F3172" s="83"/>
      <c r="G3172" s="31"/>
      <c r="H3172" s="31"/>
    </row>
    <row r="3173" spans="1:8">
      <c r="A3173" s="31"/>
      <c r="C3173" s="31"/>
      <c r="D3173" s="83"/>
      <c r="E3173" s="83"/>
      <c r="F3173" s="83"/>
      <c r="G3173" s="31"/>
      <c r="H3173" s="31"/>
    </row>
    <row r="3174" spans="1:8">
      <c r="A3174" s="31"/>
      <c r="C3174" s="31"/>
      <c r="D3174" s="83"/>
      <c r="E3174" s="83"/>
      <c r="F3174" s="83"/>
      <c r="G3174" s="31"/>
      <c r="H3174" s="31"/>
    </row>
    <row r="3175" spans="1:8">
      <c r="A3175" s="31"/>
      <c r="C3175" s="31"/>
      <c r="D3175" s="83"/>
      <c r="E3175" s="83"/>
      <c r="F3175" s="83"/>
      <c r="G3175" s="31"/>
      <c r="H3175" s="31"/>
    </row>
    <row r="3176" spans="1:8">
      <c r="A3176" s="31"/>
      <c r="C3176" s="31"/>
      <c r="D3176" s="83"/>
      <c r="E3176" s="83"/>
      <c r="F3176" s="83"/>
      <c r="G3176" s="31"/>
      <c r="H3176" s="31"/>
    </row>
    <row r="3177" spans="1:8">
      <c r="A3177" s="31"/>
      <c r="C3177" s="31"/>
      <c r="D3177" s="83"/>
      <c r="E3177" s="83"/>
      <c r="F3177" s="83"/>
      <c r="G3177" s="31"/>
      <c r="H3177" s="31"/>
    </row>
    <row r="3178" spans="1:8">
      <c r="A3178" s="31"/>
      <c r="C3178" s="31"/>
      <c r="D3178" s="83"/>
      <c r="E3178" s="83"/>
      <c r="F3178" s="83"/>
      <c r="G3178" s="31"/>
      <c r="H3178" s="31"/>
    </row>
    <row r="3179" spans="1:8">
      <c r="A3179" s="31"/>
      <c r="C3179" s="31"/>
      <c r="D3179" s="83"/>
      <c r="E3179" s="83"/>
      <c r="F3179" s="83"/>
      <c r="G3179" s="31"/>
      <c r="H3179" s="31"/>
    </row>
    <row r="3180" spans="1:8">
      <c r="A3180" s="31"/>
      <c r="C3180" s="31"/>
      <c r="D3180" s="83"/>
      <c r="E3180" s="83"/>
      <c r="F3180" s="83"/>
      <c r="G3180" s="31"/>
      <c r="H3180" s="31"/>
    </row>
    <row r="3181" spans="1:8">
      <c r="A3181" s="31"/>
      <c r="C3181" s="31"/>
      <c r="D3181" s="83"/>
      <c r="E3181" s="83"/>
      <c r="F3181" s="83"/>
      <c r="G3181" s="31"/>
      <c r="H3181" s="31"/>
    </row>
    <row r="3182" spans="1:8">
      <c r="A3182" s="31"/>
      <c r="C3182" s="31"/>
      <c r="D3182" s="83"/>
      <c r="E3182" s="83"/>
      <c r="F3182" s="83"/>
      <c r="G3182" s="31"/>
      <c r="H3182" s="31"/>
    </row>
    <row r="3183" spans="1:8">
      <c r="A3183" s="31"/>
      <c r="C3183" s="31"/>
      <c r="D3183" s="83"/>
      <c r="E3183" s="83"/>
      <c r="F3183" s="83"/>
      <c r="G3183" s="31"/>
      <c r="H3183" s="31"/>
    </row>
    <row r="3184" spans="1:8">
      <c r="A3184" s="31"/>
      <c r="C3184" s="31"/>
      <c r="D3184" s="83"/>
      <c r="E3184" s="83"/>
      <c r="F3184" s="83"/>
      <c r="G3184" s="31"/>
      <c r="H3184" s="31"/>
    </row>
    <row r="3185" spans="1:8">
      <c r="A3185" s="31"/>
      <c r="C3185" s="31"/>
      <c r="D3185" s="83"/>
      <c r="E3185" s="83"/>
      <c r="F3185" s="83"/>
      <c r="G3185" s="31"/>
      <c r="H3185" s="31"/>
    </row>
    <row r="3186" spans="1:8">
      <c r="A3186" s="31"/>
      <c r="C3186" s="31"/>
      <c r="D3186" s="83"/>
      <c r="E3186" s="83"/>
      <c r="F3186" s="83"/>
      <c r="G3186" s="31"/>
      <c r="H3186" s="31"/>
    </row>
    <row r="3187" spans="1:8">
      <c r="A3187" s="31"/>
      <c r="C3187" s="31"/>
      <c r="D3187" s="83"/>
      <c r="E3187" s="83"/>
      <c r="F3187" s="83"/>
      <c r="G3187" s="31"/>
      <c r="H3187" s="31"/>
    </row>
    <row r="3188" spans="1:8">
      <c r="A3188" s="31"/>
      <c r="C3188" s="31"/>
      <c r="D3188" s="83"/>
      <c r="E3188" s="83"/>
      <c r="F3188" s="83"/>
      <c r="G3188" s="31"/>
      <c r="H3188" s="31"/>
    </row>
    <row r="3189" spans="1:8">
      <c r="A3189" s="31"/>
      <c r="C3189" s="31"/>
      <c r="D3189" s="83"/>
      <c r="E3189" s="83"/>
      <c r="F3189" s="83"/>
      <c r="G3189" s="31"/>
      <c r="H3189" s="31"/>
    </row>
    <row r="3190" spans="1:8">
      <c r="A3190" s="31"/>
      <c r="C3190" s="31"/>
      <c r="D3190" s="83"/>
      <c r="E3190" s="83"/>
      <c r="F3190" s="83"/>
      <c r="G3190" s="31"/>
      <c r="H3190" s="31"/>
    </row>
    <row r="3191" spans="1:8">
      <c r="A3191" s="31"/>
      <c r="C3191" s="31"/>
      <c r="D3191" s="83"/>
      <c r="E3191" s="83"/>
      <c r="F3191" s="83"/>
      <c r="G3191" s="31"/>
      <c r="H3191" s="31"/>
    </row>
    <row r="3192" spans="1:8">
      <c r="A3192" s="31"/>
      <c r="C3192" s="31"/>
      <c r="D3192" s="83"/>
      <c r="E3192" s="83"/>
      <c r="F3192" s="83"/>
      <c r="G3192" s="31"/>
      <c r="H3192" s="31"/>
    </row>
    <row r="3193" spans="1:8">
      <c r="A3193" s="31"/>
      <c r="C3193" s="31"/>
      <c r="D3193" s="83"/>
      <c r="E3193" s="83"/>
      <c r="F3193" s="83"/>
      <c r="G3193" s="31"/>
      <c r="H3193" s="31"/>
    </row>
    <row r="3194" spans="1:8">
      <c r="A3194" s="31"/>
      <c r="C3194" s="31"/>
      <c r="D3194" s="83"/>
      <c r="E3194" s="83"/>
      <c r="F3194" s="83"/>
      <c r="G3194" s="31"/>
      <c r="H3194" s="31"/>
    </row>
    <row r="3195" spans="1:8">
      <c r="A3195" s="31"/>
      <c r="C3195" s="31"/>
      <c r="D3195" s="83"/>
      <c r="E3195" s="83"/>
      <c r="F3195" s="83"/>
      <c r="G3195" s="31"/>
      <c r="H3195" s="31"/>
    </row>
    <row r="3196" spans="1:8">
      <c r="A3196" s="31"/>
      <c r="C3196" s="31"/>
      <c r="D3196" s="83"/>
      <c r="E3196" s="83"/>
      <c r="F3196" s="83"/>
      <c r="G3196" s="31"/>
      <c r="H3196" s="31"/>
    </row>
    <row r="3197" spans="1:8">
      <c r="A3197" s="31"/>
      <c r="C3197" s="31"/>
      <c r="D3197" s="83"/>
      <c r="E3197" s="83"/>
      <c r="F3197" s="83"/>
      <c r="G3197" s="31"/>
      <c r="H3197" s="31"/>
    </row>
    <row r="3198" spans="1:8">
      <c r="A3198" s="31"/>
      <c r="C3198" s="31"/>
      <c r="D3198" s="83"/>
      <c r="E3198" s="83"/>
      <c r="F3198" s="83"/>
      <c r="G3198" s="31"/>
      <c r="H3198" s="31"/>
    </row>
    <row r="3199" spans="1:8">
      <c r="A3199" s="31"/>
      <c r="C3199" s="31"/>
      <c r="D3199" s="83"/>
      <c r="E3199" s="83"/>
      <c r="F3199" s="83"/>
      <c r="G3199" s="31"/>
      <c r="H3199" s="31"/>
    </row>
    <row r="3200" spans="1:8">
      <c r="A3200" s="31"/>
      <c r="C3200" s="31"/>
      <c r="D3200" s="83"/>
      <c r="E3200" s="83"/>
      <c r="F3200" s="83"/>
      <c r="G3200" s="31"/>
      <c r="H3200" s="31"/>
    </row>
    <row r="3201" spans="1:8">
      <c r="A3201" s="31"/>
      <c r="C3201" s="31"/>
      <c r="D3201" s="83"/>
      <c r="E3201" s="83"/>
      <c r="F3201" s="83"/>
      <c r="G3201" s="31"/>
      <c r="H3201" s="31"/>
    </row>
    <row r="3202" spans="1:8">
      <c r="A3202" s="31"/>
      <c r="C3202" s="31"/>
      <c r="D3202" s="83"/>
      <c r="E3202" s="83"/>
      <c r="F3202" s="83"/>
      <c r="G3202" s="31"/>
      <c r="H3202" s="31"/>
    </row>
    <row r="3203" spans="1:8">
      <c r="A3203" s="31"/>
      <c r="C3203" s="31"/>
      <c r="D3203" s="83"/>
      <c r="E3203" s="83"/>
      <c r="F3203" s="83"/>
      <c r="G3203" s="31"/>
      <c r="H3203" s="31"/>
    </row>
    <row r="3204" spans="1:8">
      <c r="A3204" s="31"/>
      <c r="C3204" s="31"/>
      <c r="D3204" s="83"/>
      <c r="E3204" s="83"/>
      <c r="F3204" s="83"/>
      <c r="G3204" s="31"/>
      <c r="H3204" s="31"/>
    </row>
    <row r="3205" spans="1:8">
      <c r="A3205" s="31"/>
      <c r="C3205" s="31"/>
      <c r="D3205" s="83"/>
      <c r="E3205" s="83"/>
      <c r="F3205" s="83"/>
      <c r="G3205" s="31"/>
      <c r="H3205" s="31"/>
    </row>
    <row r="3206" spans="1:8">
      <c r="A3206" s="31"/>
      <c r="C3206" s="31"/>
      <c r="D3206" s="83"/>
      <c r="E3206" s="83"/>
      <c r="F3206" s="83"/>
      <c r="G3206" s="31"/>
      <c r="H3206" s="31"/>
    </row>
    <row r="3207" spans="1:8">
      <c r="A3207" s="31"/>
      <c r="C3207" s="31"/>
      <c r="D3207" s="83"/>
      <c r="E3207" s="83"/>
      <c r="F3207" s="83"/>
      <c r="G3207" s="31"/>
      <c r="H3207" s="31"/>
    </row>
    <row r="3208" spans="1:8">
      <c r="A3208" s="31"/>
      <c r="C3208" s="31"/>
      <c r="D3208" s="83"/>
      <c r="E3208" s="83"/>
      <c r="F3208" s="83"/>
      <c r="G3208" s="31"/>
      <c r="H3208" s="31"/>
    </row>
    <row r="3209" spans="1:8">
      <c r="A3209" s="31"/>
      <c r="C3209" s="31"/>
      <c r="D3209" s="83"/>
      <c r="E3209" s="83"/>
      <c r="F3209" s="83"/>
      <c r="G3209" s="31"/>
      <c r="H3209" s="31"/>
    </row>
    <row r="3210" spans="1:8">
      <c r="A3210" s="31"/>
      <c r="C3210" s="31"/>
      <c r="D3210" s="83"/>
      <c r="E3210" s="83"/>
      <c r="F3210" s="83"/>
      <c r="G3210" s="31"/>
      <c r="H3210" s="31"/>
    </row>
    <row r="3211" spans="1:8">
      <c r="A3211" s="31"/>
      <c r="C3211" s="31"/>
      <c r="D3211" s="83"/>
      <c r="E3211" s="83"/>
      <c r="F3211" s="83"/>
      <c r="G3211" s="31"/>
      <c r="H3211" s="31"/>
    </row>
    <row r="3212" spans="1:8">
      <c r="A3212" s="31"/>
      <c r="C3212" s="31"/>
      <c r="D3212" s="83"/>
      <c r="E3212" s="83"/>
      <c r="F3212" s="83"/>
      <c r="G3212" s="31"/>
      <c r="H3212" s="31"/>
    </row>
    <row r="3213" spans="1:8">
      <c r="A3213" s="31"/>
      <c r="C3213" s="31"/>
      <c r="D3213" s="83"/>
      <c r="E3213" s="83"/>
      <c r="F3213" s="83"/>
      <c r="G3213" s="31"/>
      <c r="H3213" s="31"/>
    </row>
    <row r="3214" spans="1:8">
      <c r="A3214" s="31"/>
      <c r="C3214" s="31"/>
      <c r="D3214" s="83"/>
      <c r="E3214" s="83"/>
      <c r="F3214" s="83"/>
      <c r="G3214" s="31"/>
      <c r="H3214" s="31"/>
    </row>
    <row r="3215" spans="1:8">
      <c r="A3215" s="31"/>
      <c r="C3215" s="31"/>
      <c r="D3215" s="83"/>
      <c r="E3215" s="83"/>
      <c r="F3215" s="83"/>
      <c r="G3215" s="31"/>
      <c r="H3215" s="31"/>
    </row>
    <row r="3216" spans="1:8">
      <c r="A3216" s="31"/>
      <c r="C3216" s="31"/>
      <c r="D3216" s="83"/>
      <c r="E3216" s="83"/>
      <c r="F3216" s="83"/>
      <c r="G3216" s="31"/>
      <c r="H3216" s="31"/>
    </row>
    <row r="3217" spans="1:8">
      <c r="A3217" s="31"/>
      <c r="C3217" s="31"/>
      <c r="D3217" s="83"/>
      <c r="E3217" s="83"/>
      <c r="F3217" s="83"/>
      <c r="G3217" s="31"/>
      <c r="H3217" s="31"/>
    </row>
    <row r="3218" spans="1:8">
      <c r="A3218" s="31"/>
      <c r="C3218" s="31"/>
      <c r="D3218" s="83"/>
      <c r="E3218" s="83"/>
      <c r="F3218" s="83"/>
      <c r="G3218" s="31"/>
      <c r="H3218" s="31"/>
    </row>
    <row r="3219" spans="1:8">
      <c r="A3219" s="31"/>
      <c r="C3219" s="31"/>
      <c r="D3219" s="83"/>
      <c r="E3219" s="83"/>
      <c r="F3219" s="83"/>
      <c r="G3219" s="31"/>
      <c r="H3219" s="31"/>
    </row>
    <row r="3220" spans="1:8">
      <c r="A3220" s="31"/>
      <c r="C3220" s="31"/>
      <c r="D3220" s="83"/>
      <c r="E3220" s="83"/>
      <c r="F3220" s="83"/>
      <c r="G3220" s="31"/>
      <c r="H3220" s="31"/>
    </row>
    <row r="3221" spans="1:8">
      <c r="A3221" s="31"/>
      <c r="C3221" s="31"/>
      <c r="D3221" s="83"/>
      <c r="E3221" s="83"/>
      <c r="F3221" s="83"/>
      <c r="G3221" s="31"/>
      <c r="H3221" s="31"/>
    </row>
    <row r="3222" spans="1:8">
      <c r="A3222" s="31"/>
      <c r="C3222" s="31"/>
      <c r="D3222" s="83"/>
      <c r="E3222" s="83"/>
      <c r="F3222" s="83"/>
      <c r="G3222" s="31"/>
      <c r="H3222" s="31"/>
    </row>
    <row r="3223" spans="1:8">
      <c r="A3223" s="31"/>
      <c r="C3223" s="31"/>
      <c r="D3223" s="83"/>
      <c r="E3223" s="83"/>
      <c r="F3223" s="83"/>
      <c r="G3223" s="31"/>
      <c r="H3223" s="31"/>
    </row>
    <row r="3224" spans="1:8">
      <c r="A3224" s="31"/>
      <c r="C3224" s="31"/>
      <c r="D3224" s="83"/>
      <c r="E3224" s="83"/>
      <c r="F3224" s="83"/>
      <c r="G3224" s="31"/>
      <c r="H3224" s="31"/>
    </row>
    <row r="3225" spans="1:8">
      <c r="A3225" s="31"/>
      <c r="C3225" s="31"/>
      <c r="D3225" s="83"/>
      <c r="E3225" s="83"/>
      <c r="F3225" s="83"/>
      <c r="G3225" s="31"/>
      <c r="H3225" s="31"/>
    </row>
    <row r="3226" spans="1:8">
      <c r="A3226" s="31"/>
      <c r="C3226" s="31"/>
      <c r="D3226" s="83"/>
      <c r="E3226" s="83"/>
      <c r="F3226" s="83"/>
      <c r="G3226" s="31"/>
      <c r="H3226" s="31"/>
    </row>
    <row r="3227" spans="1:8">
      <c r="A3227" s="31"/>
      <c r="C3227" s="31"/>
      <c r="D3227" s="83"/>
      <c r="E3227" s="83"/>
      <c r="F3227" s="83"/>
      <c r="G3227" s="31"/>
      <c r="H3227" s="31"/>
    </row>
    <row r="3228" spans="1:8">
      <c r="A3228" s="31"/>
      <c r="C3228" s="31"/>
      <c r="D3228" s="83"/>
      <c r="E3228" s="83"/>
      <c r="F3228" s="83"/>
      <c r="G3228" s="31"/>
      <c r="H3228" s="31"/>
    </row>
    <row r="3229" spans="1:8">
      <c r="A3229" s="31"/>
      <c r="C3229" s="31"/>
      <c r="D3229" s="83"/>
      <c r="E3229" s="83"/>
      <c r="F3229" s="83"/>
      <c r="G3229" s="31"/>
      <c r="H3229" s="31"/>
    </row>
    <row r="3230" spans="1:8">
      <c r="A3230" s="31"/>
      <c r="C3230" s="31"/>
      <c r="D3230" s="83"/>
      <c r="E3230" s="83"/>
      <c r="F3230" s="83"/>
      <c r="G3230" s="31"/>
      <c r="H3230" s="31"/>
    </row>
    <row r="3231" spans="1:8">
      <c r="A3231" s="31"/>
      <c r="C3231" s="31"/>
      <c r="D3231" s="83"/>
      <c r="E3231" s="83"/>
      <c r="F3231" s="83"/>
      <c r="G3231" s="31"/>
      <c r="H3231" s="31"/>
    </row>
    <row r="3232" spans="1:8">
      <c r="A3232" s="31"/>
      <c r="C3232" s="31"/>
      <c r="D3232" s="83"/>
      <c r="E3232" s="83"/>
      <c r="F3232" s="83"/>
      <c r="G3232" s="31"/>
      <c r="H3232" s="31"/>
    </row>
    <row r="3233" spans="1:8">
      <c r="A3233" s="31"/>
      <c r="C3233" s="31"/>
      <c r="D3233" s="83"/>
      <c r="E3233" s="83"/>
      <c r="F3233" s="83"/>
      <c r="G3233" s="31"/>
      <c r="H3233" s="31"/>
    </row>
    <row r="3234" spans="1:8">
      <c r="A3234" s="31"/>
      <c r="C3234" s="31"/>
      <c r="D3234" s="83"/>
      <c r="E3234" s="83"/>
      <c r="F3234" s="83"/>
      <c r="G3234" s="31"/>
      <c r="H3234" s="31"/>
    </row>
    <row r="3235" spans="1:8">
      <c r="A3235" s="31"/>
      <c r="C3235" s="31"/>
      <c r="D3235" s="83"/>
      <c r="E3235" s="83"/>
      <c r="F3235" s="83"/>
      <c r="G3235" s="31"/>
      <c r="H3235" s="31"/>
    </row>
    <row r="3236" spans="1:8">
      <c r="A3236" s="31"/>
      <c r="C3236" s="31"/>
      <c r="D3236" s="83"/>
      <c r="E3236" s="83"/>
      <c r="F3236" s="83"/>
      <c r="G3236" s="31"/>
      <c r="H3236" s="31"/>
    </row>
    <row r="3237" spans="1:8">
      <c r="A3237" s="31"/>
      <c r="C3237" s="31"/>
      <c r="D3237" s="83"/>
      <c r="E3237" s="83"/>
      <c r="F3237" s="83"/>
      <c r="G3237" s="31"/>
      <c r="H3237" s="31"/>
    </row>
    <row r="3238" spans="1:8">
      <c r="A3238" s="31"/>
      <c r="C3238" s="31"/>
      <c r="D3238" s="83"/>
      <c r="E3238" s="83"/>
      <c r="F3238" s="83"/>
      <c r="G3238" s="31"/>
      <c r="H3238" s="31"/>
    </row>
    <row r="3239" spans="1:8">
      <c r="A3239" s="31"/>
      <c r="C3239" s="31"/>
      <c r="D3239" s="83"/>
      <c r="E3239" s="83"/>
      <c r="F3239" s="83"/>
      <c r="G3239" s="31"/>
      <c r="H3239" s="31"/>
    </row>
    <row r="3240" spans="1:8">
      <c r="A3240" s="31"/>
      <c r="C3240" s="31"/>
      <c r="D3240" s="83"/>
      <c r="E3240" s="83"/>
      <c r="F3240" s="83"/>
      <c r="G3240" s="31"/>
      <c r="H3240" s="31"/>
    </row>
    <row r="3241" spans="1:8">
      <c r="A3241" s="31"/>
      <c r="C3241" s="31"/>
      <c r="D3241" s="83"/>
      <c r="E3241" s="83"/>
      <c r="F3241" s="83"/>
      <c r="G3241" s="31"/>
      <c r="H3241" s="31"/>
    </row>
    <row r="3242" spans="1:8">
      <c r="A3242" s="31"/>
      <c r="C3242" s="31"/>
      <c r="D3242" s="83"/>
      <c r="E3242" s="83"/>
      <c r="F3242" s="83"/>
      <c r="G3242" s="31"/>
      <c r="H3242" s="31"/>
    </row>
    <row r="3243" spans="1:8">
      <c r="A3243" s="31"/>
      <c r="C3243" s="31"/>
      <c r="D3243" s="83"/>
      <c r="E3243" s="83"/>
      <c r="F3243" s="83"/>
      <c r="G3243" s="31"/>
      <c r="H3243" s="31"/>
    </row>
    <row r="3244" spans="1:8">
      <c r="A3244" s="31"/>
      <c r="C3244" s="31"/>
      <c r="D3244" s="83"/>
      <c r="E3244" s="83"/>
      <c r="F3244" s="83"/>
      <c r="G3244" s="31"/>
      <c r="H3244" s="31"/>
    </row>
    <row r="3245" spans="1:8">
      <c r="A3245" s="31"/>
      <c r="C3245" s="31"/>
      <c r="D3245" s="83"/>
      <c r="E3245" s="83"/>
      <c r="F3245" s="83"/>
      <c r="G3245" s="31"/>
      <c r="H3245" s="31"/>
    </row>
    <row r="3246" spans="1:8">
      <c r="A3246" s="31"/>
      <c r="C3246" s="31"/>
      <c r="D3246" s="83"/>
      <c r="E3246" s="83"/>
      <c r="F3246" s="83"/>
      <c r="G3246" s="31"/>
      <c r="H3246" s="31"/>
    </row>
    <row r="3247" spans="1:8">
      <c r="A3247" s="31"/>
      <c r="C3247" s="31"/>
      <c r="D3247" s="83"/>
      <c r="E3247" s="83"/>
      <c r="F3247" s="83"/>
      <c r="G3247" s="31"/>
      <c r="H3247" s="31"/>
    </row>
    <row r="3248" spans="1:8">
      <c r="A3248" s="31"/>
      <c r="C3248" s="31"/>
      <c r="D3248" s="83"/>
      <c r="E3248" s="83"/>
      <c r="F3248" s="83"/>
      <c r="G3248" s="31"/>
      <c r="H3248" s="31"/>
    </row>
    <row r="3249" spans="1:8">
      <c r="A3249" s="31"/>
      <c r="C3249" s="31"/>
      <c r="D3249" s="83"/>
      <c r="E3249" s="83"/>
      <c r="F3249" s="83"/>
      <c r="G3249" s="31"/>
      <c r="H3249" s="31"/>
    </row>
    <row r="3250" spans="1:8">
      <c r="A3250" s="31"/>
      <c r="C3250" s="31"/>
      <c r="D3250" s="83"/>
      <c r="E3250" s="83"/>
      <c r="F3250" s="83"/>
      <c r="G3250" s="31"/>
      <c r="H3250" s="31"/>
    </row>
    <row r="3251" spans="1:8">
      <c r="A3251" s="31"/>
      <c r="C3251" s="31"/>
      <c r="D3251" s="83"/>
      <c r="E3251" s="83"/>
      <c r="F3251" s="83"/>
      <c r="G3251" s="31"/>
      <c r="H3251" s="31"/>
    </row>
    <row r="3252" spans="1:8">
      <c r="A3252" s="31"/>
      <c r="C3252" s="31"/>
      <c r="D3252" s="83"/>
      <c r="E3252" s="83"/>
      <c r="F3252" s="83"/>
      <c r="G3252" s="31"/>
      <c r="H3252" s="31"/>
    </row>
    <row r="3253" spans="1:8">
      <c r="A3253" s="31"/>
      <c r="C3253" s="31"/>
      <c r="D3253" s="83"/>
      <c r="E3253" s="83"/>
      <c r="F3253" s="83"/>
      <c r="G3253" s="31"/>
      <c r="H3253" s="31"/>
    </row>
    <row r="3254" spans="1:8">
      <c r="A3254" s="31"/>
      <c r="C3254" s="31"/>
      <c r="D3254" s="83"/>
      <c r="E3254" s="83"/>
      <c r="F3254" s="83"/>
      <c r="G3254" s="31"/>
      <c r="H3254" s="31"/>
    </row>
    <row r="3255" spans="1:8">
      <c r="A3255" s="31"/>
      <c r="C3255" s="31"/>
      <c r="D3255" s="83"/>
      <c r="E3255" s="83"/>
      <c r="F3255" s="83"/>
      <c r="G3255" s="31"/>
      <c r="H3255" s="31"/>
    </row>
    <row r="3256" spans="1:8">
      <c r="A3256" s="31"/>
      <c r="C3256" s="31"/>
      <c r="D3256" s="83"/>
      <c r="E3256" s="83"/>
      <c r="F3256" s="83"/>
      <c r="G3256" s="31"/>
      <c r="H3256" s="31"/>
    </row>
    <row r="3257" spans="1:8">
      <c r="A3257" s="31"/>
      <c r="C3257" s="31"/>
      <c r="D3257" s="83"/>
      <c r="E3257" s="83"/>
      <c r="F3257" s="83"/>
      <c r="G3257" s="31"/>
      <c r="H3257" s="31"/>
    </row>
    <row r="3258" spans="1:8">
      <c r="A3258" s="31"/>
      <c r="C3258" s="31"/>
      <c r="D3258" s="83"/>
      <c r="E3258" s="83"/>
      <c r="F3258" s="83"/>
      <c r="G3258" s="31"/>
      <c r="H3258" s="31"/>
    </row>
    <row r="3259" spans="1:8">
      <c r="A3259" s="31"/>
      <c r="C3259" s="31"/>
      <c r="D3259" s="83"/>
      <c r="E3259" s="83"/>
      <c r="F3259" s="83"/>
      <c r="G3259" s="31"/>
      <c r="H3259" s="31"/>
    </row>
    <row r="3260" spans="1:8">
      <c r="A3260" s="31"/>
      <c r="C3260" s="31"/>
      <c r="D3260" s="83"/>
      <c r="E3260" s="83"/>
      <c r="F3260" s="83"/>
      <c r="G3260" s="31"/>
      <c r="H3260" s="31"/>
    </row>
    <row r="3261" spans="1:8">
      <c r="A3261" s="31"/>
      <c r="C3261" s="31"/>
      <c r="D3261" s="83"/>
      <c r="E3261" s="83"/>
      <c r="F3261" s="83"/>
      <c r="G3261" s="31"/>
      <c r="H3261" s="31"/>
    </row>
    <row r="3262" spans="1:8">
      <c r="A3262" s="31"/>
      <c r="C3262" s="31"/>
      <c r="D3262" s="83"/>
      <c r="E3262" s="83"/>
      <c r="F3262" s="83"/>
      <c r="G3262" s="31"/>
      <c r="H3262" s="31"/>
    </row>
    <row r="3263" spans="1:8">
      <c r="A3263" s="31"/>
      <c r="C3263" s="31"/>
      <c r="D3263" s="83"/>
      <c r="E3263" s="83"/>
      <c r="F3263" s="83"/>
      <c r="G3263" s="31"/>
      <c r="H3263" s="31"/>
    </row>
    <row r="3264" spans="1:8">
      <c r="A3264" s="31"/>
      <c r="C3264" s="31"/>
      <c r="D3264" s="83"/>
      <c r="E3264" s="83"/>
      <c r="F3264" s="83"/>
      <c r="G3264" s="31"/>
      <c r="H3264" s="31"/>
    </row>
    <row r="3265" spans="1:8">
      <c r="A3265" s="31"/>
      <c r="C3265" s="31"/>
      <c r="D3265" s="83"/>
      <c r="E3265" s="83"/>
      <c r="F3265" s="83"/>
      <c r="G3265" s="31"/>
      <c r="H3265" s="31"/>
    </row>
    <row r="3266" spans="1:8">
      <c r="A3266" s="31"/>
      <c r="C3266" s="31"/>
      <c r="D3266" s="83"/>
      <c r="E3266" s="83"/>
      <c r="F3266" s="83"/>
      <c r="G3266" s="31"/>
      <c r="H3266" s="31"/>
    </row>
    <row r="3267" spans="1:8">
      <c r="A3267" s="31"/>
      <c r="C3267" s="31"/>
      <c r="D3267" s="83"/>
      <c r="E3267" s="83"/>
      <c r="F3267" s="83"/>
      <c r="G3267" s="31"/>
      <c r="H3267" s="31"/>
    </row>
    <row r="3268" spans="1:8">
      <c r="A3268" s="31"/>
      <c r="C3268" s="31"/>
      <c r="D3268" s="83"/>
      <c r="E3268" s="83"/>
      <c r="F3268" s="83"/>
      <c r="G3268" s="31"/>
      <c r="H3268" s="31"/>
    </row>
    <row r="3269" spans="1:8">
      <c r="A3269" s="31"/>
      <c r="C3269" s="31"/>
      <c r="D3269" s="83"/>
      <c r="E3269" s="83"/>
      <c r="F3269" s="83"/>
      <c r="G3269" s="31"/>
      <c r="H3269" s="31"/>
    </row>
    <row r="3270" spans="1:8">
      <c r="A3270" s="31"/>
      <c r="C3270" s="31"/>
      <c r="D3270" s="83"/>
      <c r="E3270" s="83"/>
      <c r="F3270" s="83"/>
      <c r="G3270" s="31"/>
      <c r="H3270" s="31"/>
    </row>
    <row r="3271" spans="1:8">
      <c r="A3271" s="31"/>
      <c r="C3271" s="31"/>
      <c r="D3271" s="83"/>
      <c r="E3271" s="83"/>
      <c r="F3271" s="83"/>
      <c r="G3271" s="31"/>
      <c r="H3271" s="31"/>
    </row>
    <row r="3272" spans="1:8">
      <c r="A3272" s="31"/>
      <c r="C3272" s="31"/>
      <c r="D3272" s="83"/>
      <c r="E3272" s="83"/>
      <c r="F3272" s="83"/>
      <c r="G3272" s="31"/>
      <c r="H3272" s="31"/>
    </row>
    <row r="3273" spans="1:8">
      <c r="A3273" s="31"/>
      <c r="C3273" s="31"/>
      <c r="D3273" s="83"/>
      <c r="E3273" s="83"/>
      <c r="F3273" s="83"/>
      <c r="G3273" s="31"/>
      <c r="H3273" s="31"/>
    </row>
    <row r="3274" spans="1:8">
      <c r="A3274" s="31"/>
      <c r="C3274" s="31"/>
      <c r="D3274" s="83"/>
      <c r="E3274" s="83"/>
      <c r="F3274" s="83"/>
      <c r="G3274" s="31"/>
      <c r="H3274" s="31"/>
    </row>
    <row r="3275" spans="1:8">
      <c r="A3275" s="31"/>
      <c r="C3275" s="31"/>
      <c r="D3275" s="83"/>
      <c r="E3275" s="83"/>
      <c r="F3275" s="83"/>
      <c r="G3275" s="31"/>
      <c r="H3275" s="31"/>
    </row>
    <row r="3276" spans="1:8">
      <c r="A3276" s="31"/>
      <c r="C3276" s="31"/>
      <c r="D3276" s="83"/>
      <c r="E3276" s="83"/>
      <c r="F3276" s="83"/>
      <c r="G3276" s="31"/>
      <c r="H3276" s="31"/>
    </row>
    <row r="3277" spans="1:8">
      <c r="A3277" s="31"/>
      <c r="C3277" s="31"/>
      <c r="D3277" s="83"/>
      <c r="E3277" s="83"/>
      <c r="F3277" s="83"/>
      <c r="G3277" s="31"/>
      <c r="H3277" s="31"/>
    </row>
    <row r="3278" spans="1:8">
      <c r="A3278" s="31"/>
      <c r="C3278" s="31"/>
      <c r="D3278" s="83"/>
      <c r="E3278" s="83"/>
      <c r="F3278" s="83"/>
      <c r="G3278" s="31"/>
      <c r="H3278" s="31"/>
    </row>
    <row r="3279" spans="1:8">
      <c r="A3279" s="31"/>
      <c r="C3279" s="31"/>
      <c r="D3279" s="83"/>
      <c r="E3279" s="83"/>
      <c r="F3279" s="83"/>
      <c r="G3279" s="31"/>
      <c r="H3279" s="31"/>
    </row>
    <row r="3280" spans="1:8">
      <c r="A3280" s="31"/>
      <c r="C3280" s="31"/>
      <c r="D3280" s="83"/>
      <c r="E3280" s="83"/>
      <c r="F3280" s="83"/>
      <c r="G3280" s="31"/>
      <c r="H3280" s="31"/>
    </row>
    <row r="3281" spans="1:8">
      <c r="A3281" s="31"/>
      <c r="C3281" s="31"/>
      <c r="D3281" s="83"/>
      <c r="E3281" s="83"/>
      <c r="F3281" s="83"/>
      <c r="G3281" s="31"/>
      <c r="H3281" s="31"/>
    </row>
    <row r="3282" spans="1:8">
      <c r="A3282" s="31"/>
      <c r="C3282" s="31"/>
      <c r="D3282" s="83"/>
      <c r="E3282" s="83"/>
      <c r="F3282" s="83"/>
      <c r="G3282" s="31"/>
      <c r="H3282" s="31"/>
    </row>
    <row r="3283" spans="1:8">
      <c r="A3283" s="31"/>
      <c r="C3283" s="31"/>
      <c r="D3283" s="83"/>
      <c r="E3283" s="83"/>
      <c r="F3283" s="83"/>
      <c r="G3283" s="31"/>
      <c r="H3283" s="31"/>
    </row>
    <row r="3284" spans="1:8">
      <c r="A3284" s="31"/>
      <c r="C3284" s="31"/>
      <c r="D3284" s="83"/>
      <c r="E3284" s="83"/>
      <c r="F3284" s="83"/>
      <c r="G3284" s="31"/>
      <c r="H3284" s="31"/>
    </row>
    <row r="3285" spans="1:8">
      <c r="A3285" s="31"/>
      <c r="C3285" s="31"/>
      <c r="D3285" s="83"/>
      <c r="E3285" s="83"/>
      <c r="F3285" s="83"/>
      <c r="G3285" s="31"/>
      <c r="H3285" s="31"/>
    </row>
    <row r="3286" spans="1:8">
      <c r="A3286" s="31"/>
      <c r="C3286" s="31"/>
      <c r="D3286" s="83"/>
      <c r="E3286" s="83"/>
      <c r="F3286" s="83"/>
      <c r="G3286" s="31"/>
      <c r="H3286" s="31"/>
    </row>
    <row r="3287" spans="1:8">
      <c r="A3287" s="31"/>
      <c r="C3287" s="31"/>
      <c r="D3287" s="83"/>
      <c r="E3287" s="83"/>
      <c r="F3287" s="83"/>
      <c r="G3287" s="31"/>
      <c r="H3287" s="31"/>
    </row>
    <row r="3288" spans="1:8">
      <c r="A3288" s="31"/>
      <c r="C3288" s="31"/>
      <c r="D3288" s="83"/>
      <c r="E3288" s="83"/>
      <c r="F3288" s="83"/>
      <c r="G3288" s="31"/>
      <c r="H3288" s="31"/>
    </row>
    <row r="3289" spans="1:8">
      <c r="A3289" s="31"/>
      <c r="C3289" s="31"/>
      <c r="D3289" s="83"/>
      <c r="E3289" s="83"/>
      <c r="F3289" s="83"/>
      <c r="G3289" s="31"/>
      <c r="H3289" s="31"/>
    </row>
    <row r="3290" spans="1:8">
      <c r="A3290" s="31"/>
      <c r="C3290" s="31"/>
      <c r="D3290" s="83"/>
      <c r="E3290" s="83"/>
      <c r="F3290" s="83"/>
      <c r="G3290" s="31"/>
      <c r="H3290" s="31"/>
    </row>
    <row r="3291" spans="1:8">
      <c r="A3291" s="31"/>
      <c r="C3291" s="31"/>
      <c r="D3291" s="83"/>
      <c r="E3291" s="83"/>
      <c r="F3291" s="83"/>
      <c r="G3291" s="31"/>
      <c r="H3291" s="31"/>
    </row>
    <row r="3292" spans="1:8">
      <c r="A3292" s="31"/>
      <c r="C3292" s="31"/>
      <c r="D3292" s="83"/>
      <c r="E3292" s="83"/>
      <c r="F3292" s="83"/>
      <c r="G3292" s="31"/>
      <c r="H3292" s="31"/>
    </row>
    <row r="3293" spans="1:8">
      <c r="A3293" s="31"/>
      <c r="C3293" s="31"/>
      <c r="D3293" s="83"/>
      <c r="E3293" s="83"/>
      <c r="F3293" s="83"/>
      <c r="G3293" s="31"/>
      <c r="H3293" s="31"/>
    </row>
    <row r="3294" spans="1:8">
      <c r="A3294" s="31"/>
      <c r="C3294" s="31"/>
      <c r="D3294" s="83"/>
      <c r="E3294" s="83"/>
      <c r="F3294" s="83"/>
      <c r="G3294" s="31"/>
      <c r="H3294" s="31"/>
    </row>
    <row r="3295" spans="1:8">
      <c r="A3295" s="31"/>
      <c r="C3295" s="31"/>
      <c r="D3295" s="83"/>
      <c r="E3295" s="83"/>
      <c r="F3295" s="83"/>
      <c r="G3295" s="31"/>
      <c r="H3295" s="31"/>
    </row>
    <row r="3296" spans="1:8">
      <c r="A3296" s="31"/>
      <c r="C3296" s="31"/>
      <c r="D3296" s="83"/>
      <c r="E3296" s="83"/>
      <c r="F3296" s="83"/>
      <c r="G3296" s="31"/>
      <c r="H3296" s="31"/>
    </row>
    <row r="3297" spans="1:8">
      <c r="A3297" s="31"/>
      <c r="C3297" s="31"/>
      <c r="D3297" s="83"/>
      <c r="E3297" s="83"/>
      <c r="F3297" s="83"/>
      <c r="G3297" s="31"/>
      <c r="H3297" s="31"/>
    </row>
    <row r="3298" spans="1:8">
      <c r="A3298" s="31"/>
      <c r="C3298" s="31"/>
      <c r="D3298" s="83"/>
      <c r="E3298" s="83"/>
      <c r="F3298" s="83"/>
      <c r="G3298" s="31"/>
      <c r="H3298" s="31"/>
    </row>
    <row r="3299" spans="1:8">
      <c r="A3299" s="31"/>
      <c r="C3299" s="31"/>
      <c r="D3299" s="83"/>
      <c r="E3299" s="83"/>
      <c r="F3299" s="83"/>
      <c r="G3299" s="31"/>
      <c r="H3299" s="31"/>
    </row>
    <row r="3300" spans="1:8">
      <c r="A3300" s="31"/>
      <c r="C3300" s="31"/>
      <c r="D3300" s="83"/>
      <c r="E3300" s="83"/>
      <c r="F3300" s="83"/>
      <c r="G3300" s="31"/>
      <c r="H3300" s="31"/>
    </row>
    <row r="3301" spans="1:8">
      <c r="A3301" s="31"/>
      <c r="C3301" s="31"/>
      <c r="D3301" s="83"/>
      <c r="E3301" s="83"/>
      <c r="F3301" s="83"/>
      <c r="G3301" s="31"/>
      <c r="H3301" s="31"/>
    </row>
    <row r="3302" spans="1:8">
      <c r="A3302" s="31"/>
      <c r="C3302" s="31"/>
      <c r="D3302" s="83"/>
      <c r="E3302" s="83"/>
      <c r="F3302" s="83"/>
      <c r="G3302" s="31"/>
      <c r="H3302" s="31"/>
    </row>
    <row r="3303" spans="1:8">
      <c r="A3303" s="31"/>
      <c r="C3303" s="31"/>
      <c r="D3303" s="83"/>
      <c r="E3303" s="83"/>
      <c r="F3303" s="83"/>
      <c r="G3303" s="31"/>
      <c r="H3303" s="31"/>
    </row>
    <row r="3304" spans="1:8">
      <c r="A3304" s="31"/>
      <c r="C3304" s="31"/>
      <c r="D3304" s="83"/>
      <c r="E3304" s="83"/>
      <c r="F3304" s="83"/>
      <c r="G3304" s="31"/>
      <c r="H3304" s="31"/>
    </row>
    <row r="3305" spans="1:8">
      <c r="A3305" s="31"/>
      <c r="C3305" s="31"/>
      <c r="D3305" s="83"/>
      <c r="E3305" s="83"/>
      <c r="F3305" s="83"/>
      <c r="G3305" s="31"/>
      <c r="H3305" s="31"/>
    </row>
    <row r="3306" spans="1:8">
      <c r="A3306" s="31"/>
      <c r="C3306" s="31"/>
      <c r="D3306" s="83"/>
      <c r="E3306" s="83"/>
      <c r="F3306" s="83"/>
      <c r="G3306" s="31"/>
      <c r="H3306" s="31"/>
    </row>
    <row r="3307" spans="1:8">
      <c r="A3307" s="31"/>
      <c r="C3307" s="31"/>
      <c r="D3307" s="83"/>
      <c r="E3307" s="83"/>
      <c r="F3307" s="83"/>
      <c r="G3307" s="31"/>
      <c r="H3307" s="31"/>
    </row>
    <row r="3308" spans="1:8">
      <c r="A3308" s="31"/>
      <c r="C3308" s="31"/>
      <c r="D3308" s="83"/>
      <c r="E3308" s="83"/>
      <c r="F3308" s="83"/>
      <c r="G3308" s="31"/>
      <c r="H3308" s="31"/>
    </row>
    <row r="3309" spans="1:8">
      <c r="A3309" s="31"/>
      <c r="C3309" s="31"/>
      <c r="D3309" s="83"/>
      <c r="E3309" s="83"/>
      <c r="F3309" s="83"/>
      <c r="G3309" s="31"/>
      <c r="H3309" s="31"/>
    </row>
    <row r="3310" spans="1:8">
      <c r="A3310" s="31"/>
      <c r="C3310" s="31"/>
      <c r="D3310" s="83"/>
      <c r="E3310" s="83"/>
      <c r="F3310" s="83"/>
      <c r="G3310" s="31"/>
      <c r="H3310" s="31"/>
    </row>
    <row r="3311" spans="1:8">
      <c r="A3311" s="31"/>
      <c r="C3311" s="31"/>
      <c r="D3311" s="83"/>
      <c r="E3311" s="83"/>
      <c r="F3311" s="83"/>
      <c r="G3311" s="31"/>
      <c r="H3311" s="31"/>
    </row>
    <row r="3312" spans="1:8">
      <c r="A3312" s="31"/>
      <c r="C3312" s="31"/>
      <c r="D3312" s="83"/>
      <c r="E3312" s="83"/>
      <c r="F3312" s="83"/>
      <c r="G3312" s="31"/>
      <c r="H3312" s="31"/>
    </row>
    <row r="3313" spans="1:8">
      <c r="A3313" s="31"/>
      <c r="C3313" s="31"/>
      <c r="D3313" s="83"/>
      <c r="E3313" s="83"/>
      <c r="F3313" s="83"/>
      <c r="G3313" s="31"/>
      <c r="H3313" s="31"/>
    </row>
    <row r="3314" spans="1:8">
      <c r="A3314" s="31"/>
      <c r="C3314" s="31"/>
      <c r="D3314" s="83"/>
      <c r="E3314" s="83"/>
      <c r="F3314" s="83"/>
      <c r="G3314" s="31"/>
      <c r="H3314" s="31"/>
    </row>
    <row r="3315" spans="1:8">
      <c r="A3315" s="31"/>
      <c r="C3315" s="31"/>
      <c r="D3315" s="83"/>
      <c r="E3315" s="83"/>
      <c r="F3315" s="83"/>
      <c r="G3315" s="31"/>
      <c r="H3315" s="31"/>
    </row>
    <row r="3316" spans="1:8">
      <c r="A3316" s="31"/>
      <c r="C3316" s="31"/>
      <c r="D3316" s="83"/>
      <c r="E3316" s="83"/>
      <c r="F3316" s="83"/>
      <c r="G3316" s="31"/>
      <c r="H3316" s="31"/>
    </row>
    <row r="3317" spans="1:8">
      <c r="A3317" s="31"/>
      <c r="C3317" s="31"/>
      <c r="D3317" s="83"/>
      <c r="E3317" s="83"/>
      <c r="F3317" s="83"/>
      <c r="G3317" s="31"/>
      <c r="H3317" s="31"/>
    </row>
    <row r="3318" spans="1:8">
      <c r="A3318" s="31"/>
      <c r="C3318" s="31"/>
      <c r="D3318" s="83"/>
      <c r="E3318" s="83"/>
      <c r="F3318" s="83"/>
      <c r="G3318" s="31"/>
      <c r="H3318" s="31"/>
    </row>
    <row r="3319" spans="1:8">
      <c r="A3319" s="31"/>
      <c r="C3319" s="31"/>
      <c r="D3319" s="83"/>
      <c r="E3319" s="83"/>
      <c r="F3319" s="83"/>
      <c r="G3319" s="31"/>
      <c r="H3319" s="31"/>
    </row>
    <row r="3320" spans="1:8">
      <c r="A3320" s="31"/>
      <c r="C3320" s="31"/>
      <c r="D3320" s="83"/>
      <c r="E3320" s="83"/>
      <c r="F3320" s="83"/>
      <c r="G3320" s="31"/>
      <c r="H3320" s="31"/>
    </row>
    <row r="3321" spans="1:8">
      <c r="A3321" s="31"/>
      <c r="C3321" s="31"/>
      <c r="D3321" s="83"/>
      <c r="E3321" s="83"/>
      <c r="F3321" s="83"/>
      <c r="G3321" s="31"/>
      <c r="H3321" s="31"/>
    </row>
    <row r="3322" spans="1:8">
      <c r="A3322" s="31"/>
      <c r="C3322" s="31"/>
      <c r="D3322" s="83"/>
      <c r="E3322" s="83"/>
      <c r="F3322" s="83"/>
      <c r="G3322" s="31"/>
      <c r="H3322" s="31"/>
    </row>
    <row r="3323" spans="1:8">
      <c r="A3323" s="31"/>
      <c r="C3323" s="31"/>
      <c r="D3323" s="83"/>
      <c r="E3323" s="83"/>
      <c r="F3323" s="83"/>
      <c r="G3323" s="31"/>
      <c r="H3323" s="31"/>
    </row>
    <row r="3324" spans="1:8">
      <c r="A3324" s="31"/>
      <c r="C3324" s="31"/>
      <c r="D3324" s="83"/>
      <c r="E3324" s="83"/>
      <c r="F3324" s="83"/>
      <c r="G3324" s="31"/>
      <c r="H3324" s="31"/>
    </row>
    <row r="3325" spans="1:8">
      <c r="A3325" s="31"/>
      <c r="C3325" s="31"/>
      <c r="D3325" s="83"/>
      <c r="E3325" s="83"/>
      <c r="F3325" s="83"/>
      <c r="G3325" s="31"/>
      <c r="H3325" s="31"/>
    </row>
    <row r="3326" spans="1:8">
      <c r="A3326" s="31"/>
      <c r="C3326" s="31"/>
      <c r="D3326" s="83"/>
      <c r="E3326" s="83"/>
      <c r="F3326" s="83"/>
      <c r="G3326" s="31"/>
      <c r="H3326" s="31"/>
    </row>
    <row r="3327" spans="1:8">
      <c r="A3327" s="31"/>
      <c r="C3327" s="31"/>
      <c r="D3327" s="83"/>
      <c r="E3327" s="83"/>
      <c r="F3327" s="83"/>
      <c r="G3327" s="31"/>
      <c r="H3327" s="31"/>
    </row>
    <row r="3328" spans="1:8">
      <c r="A3328" s="31"/>
      <c r="C3328" s="31"/>
      <c r="D3328" s="83"/>
      <c r="E3328" s="83"/>
      <c r="F3328" s="83"/>
      <c r="G3328" s="31"/>
      <c r="H3328" s="31"/>
    </row>
    <row r="3329" spans="1:8">
      <c r="A3329" s="31"/>
      <c r="C3329" s="31"/>
      <c r="D3329" s="83"/>
      <c r="E3329" s="83"/>
      <c r="F3329" s="83"/>
      <c r="G3329" s="31"/>
      <c r="H3329" s="31"/>
    </row>
    <row r="3330" spans="1:8">
      <c r="A3330" s="31"/>
      <c r="C3330" s="31"/>
      <c r="D3330" s="83"/>
      <c r="E3330" s="83"/>
      <c r="F3330" s="83"/>
      <c r="G3330" s="31"/>
      <c r="H3330" s="31"/>
    </row>
    <row r="3331" spans="1:8">
      <c r="A3331" s="31"/>
      <c r="C3331" s="31"/>
      <c r="D3331" s="83"/>
      <c r="E3331" s="83"/>
      <c r="F3331" s="83"/>
      <c r="G3331" s="31"/>
      <c r="H3331" s="31"/>
    </row>
    <row r="3332" spans="1:8">
      <c r="A3332" s="31"/>
      <c r="C3332" s="31"/>
      <c r="D3332" s="83"/>
      <c r="E3332" s="83"/>
      <c r="F3332" s="83"/>
      <c r="G3332" s="31"/>
      <c r="H3332" s="31"/>
    </row>
    <row r="3333" spans="1:8">
      <c r="A3333" s="31"/>
      <c r="C3333" s="31"/>
      <c r="D3333" s="83"/>
      <c r="E3333" s="83"/>
      <c r="F3333" s="83"/>
      <c r="G3333" s="31"/>
      <c r="H3333" s="31"/>
    </row>
    <row r="3334" spans="1:8">
      <c r="A3334" s="31"/>
      <c r="C3334" s="31"/>
      <c r="D3334" s="83"/>
      <c r="E3334" s="83"/>
      <c r="F3334" s="83"/>
      <c r="G3334" s="31"/>
      <c r="H3334" s="31"/>
    </row>
    <row r="3335" spans="1:8">
      <c r="A3335" s="31"/>
      <c r="C3335" s="31"/>
      <c r="D3335" s="83"/>
      <c r="E3335" s="83"/>
      <c r="F3335" s="83"/>
      <c r="G3335" s="31"/>
      <c r="H3335" s="31"/>
    </row>
    <row r="3336" spans="1:8">
      <c r="A3336" s="31"/>
      <c r="C3336" s="31"/>
      <c r="D3336" s="83"/>
      <c r="E3336" s="83"/>
      <c r="F3336" s="83"/>
      <c r="G3336" s="31"/>
      <c r="H3336" s="31"/>
    </row>
  </sheetData>
  <pageMargins left="0.7" right="0.7" top="0.75" bottom="0.75" header="0.3" footer="0.3"/>
  <pageSetup paperSize="9" orientation="portrait"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Main Kitchen Building</vt:lpstr>
      <vt:lpstr>Det-Kit</vt:lpstr>
      <vt:lpstr>Utility Building</vt:lpstr>
      <vt:lpstr>Det-Utili.Bl</vt:lpstr>
      <vt:lpstr>Boiler Room</vt:lpstr>
      <vt:lpstr>Det-Boil</vt:lpstr>
      <vt:lpstr>Det-Security Blo</vt:lpstr>
      <vt:lpstr>Site Development</vt:lpstr>
      <vt:lpstr>Det-Sit.Dev</vt:lpstr>
      <vt:lpstr>Compound Wall</vt:lpstr>
      <vt:lpstr>Det-Comp</vt:lpstr>
      <vt:lpstr>WHT Tank</vt:lpstr>
      <vt:lpstr>Det-WHT</vt:lpstr>
      <vt:lpstr>R.A Civil</vt:lpstr>
      <vt:lpstr>Analysis</vt:lpstr>
      <vt:lpstr>'Det-Kit'!Print_Titles</vt:lpstr>
      <vt:lpstr>'Main Kitchen Building'!Print_Titles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abc</dc:creator>
  <cp:lastModifiedBy>DhavalM</cp:lastModifiedBy>
  <cp:lastPrinted>2024-02-22T09:35:50Z</cp:lastPrinted>
  <dcterms:created xsi:type="dcterms:W3CDTF">2007-12-11T07:17:08Z</dcterms:created>
  <dcterms:modified xsi:type="dcterms:W3CDTF">2025-02-12T07:41:22Z</dcterms:modified>
</cp:coreProperties>
</file>